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ottinghamcc-my.sharepoint.com/personal/stuart_denoon-stevens_nottinghamcity_gov_uk/Documents/Files/NLP/Website/June 2026/"/>
    </mc:Choice>
  </mc:AlternateContent>
  <xr:revisionPtr revIDLastSave="58" documentId="8_{422F1F2D-84D2-4603-89B3-D410707C6541}" xr6:coauthVersionLast="47" xr6:coauthVersionMax="47" xr10:uidLastSave="{FAD6A258-36F3-4785-B499-21305EA33B95}"/>
  <workbookProtection workbookAlgorithmName="SHA-512" workbookHashValue="KLXjR/Wez6zSkkK4bNPqmEOsBlqE5Oc6Q8FOBIGMpg5ZiF8NbTphqX8w+nQqGizhTtVlb4RLPUKnVaN8S4ExNA==" workbookSaltValue="Z2kUcQu+caGX9tbj77IzEg==" workbookSpinCount="100000" lockStructure="1"/>
  <bookViews>
    <workbookView xWindow="-120" yWindow="-120" windowWidth="29040" windowHeight="15720" xr2:uid="{1B260605-0A8F-493B-9005-42449716EF65}"/>
  </bookViews>
  <sheets>
    <sheet name="Cover Sheet" sheetId="3" r:id="rId1"/>
    <sheet name="Inputs and Outputs" sheetId="1" r:id="rId2"/>
    <sheet name="Officer Shee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2" l="1"/>
  <c r="T24" i="2" s="1"/>
  <c r="S25" i="2"/>
  <c r="T25" i="2" s="1"/>
  <c r="S26" i="2"/>
  <c r="T26" i="2" s="1"/>
  <c r="S27" i="2"/>
  <c r="T27" i="2" s="1"/>
  <c r="S28" i="2"/>
  <c r="T28" i="2" s="1"/>
  <c r="S29" i="2"/>
  <c r="T29" i="2" s="1"/>
  <c r="S30" i="2"/>
  <c r="T30" i="2" s="1"/>
  <c r="S31" i="2"/>
  <c r="T31" i="2" s="1"/>
  <c r="S32" i="2"/>
  <c r="T32" i="2" s="1"/>
  <c r="S33" i="2"/>
  <c r="T33" i="2" s="1"/>
  <c r="S34" i="2"/>
  <c r="T34" i="2" s="1"/>
  <c r="S35" i="2"/>
  <c r="T35" i="2" s="1"/>
  <c r="S36" i="2"/>
  <c r="T36" i="2" s="1"/>
  <c r="S37" i="2"/>
  <c r="T37" i="2" s="1"/>
  <c r="S38" i="2"/>
  <c r="T38" i="2" s="1"/>
  <c r="S39" i="2"/>
  <c r="T39" i="2" s="1"/>
  <c r="S40" i="2"/>
  <c r="T40" i="2" s="1"/>
  <c r="S41" i="2"/>
  <c r="T41" i="2" s="1"/>
  <c r="S42" i="2"/>
  <c r="T42" i="2" s="1"/>
  <c r="S43" i="2"/>
  <c r="T43" i="2" s="1"/>
  <c r="S44" i="2"/>
  <c r="T44" i="2" s="1"/>
  <c r="S45" i="2"/>
  <c r="T45" i="2" s="1"/>
  <c r="S46" i="2"/>
  <c r="T46" i="2" s="1"/>
  <c r="S47" i="2"/>
  <c r="T47" i="2" s="1"/>
  <c r="S48" i="2"/>
  <c r="T48" i="2" s="1"/>
  <c r="S49" i="2"/>
  <c r="T49" i="2" s="1"/>
  <c r="S50" i="2"/>
  <c r="T50" i="2" s="1"/>
  <c r="S51" i="2"/>
  <c r="T51" i="2" s="1"/>
  <c r="S52" i="2"/>
  <c r="T52" i="2" s="1"/>
  <c r="S53" i="2"/>
  <c r="T53" i="2" s="1"/>
  <c r="S54" i="2"/>
  <c r="T54" i="2" s="1"/>
  <c r="S55" i="2"/>
  <c r="T55" i="2" s="1"/>
  <c r="S56" i="2"/>
  <c r="T56" i="2" s="1"/>
  <c r="S57" i="2"/>
  <c r="T57" i="2" s="1"/>
  <c r="S58" i="2"/>
  <c r="T58" i="2" s="1"/>
  <c r="S23" i="2"/>
  <c r="T23" i="2" s="1"/>
  <c r="O23" i="2"/>
  <c r="P23" i="2" s="1"/>
  <c r="O24" i="2"/>
  <c r="P24" i="2" s="1"/>
  <c r="O25" i="2"/>
  <c r="P25" i="2" s="1"/>
  <c r="O26" i="2"/>
  <c r="P26" i="2" s="1"/>
  <c r="O27" i="2"/>
  <c r="P27" i="2" s="1"/>
  <c r="O28" i="2"/>
  <c r="P28" i="2" s="1"/>
  <c r="O29" i="2"/>
  <c r="P29" i="2" s="1"/>
  <c r="O30" i="2"/>
  <c r="P30" i="2" s="1"/>
  <c r="O31" i="2"/>
  <c r="P31" i="2" s="1"/>
  <c r="O32" i="2"/>
  <c r="P32" i="2" s="1"/>
  <c r="O33" i="2"/>
  <c r="P33" i="2" s="1"/>
  <c r="O34" i="2"/>
  <c r="P34" i="2" s="1"/>
  <c r="O35" i="2"/>
  <c r="P35" i="2" s="1"/>
  <c r="O36" i="2"/>
  <c r="P36" i="2" s="1"/>
  <c r="O37" i="2"/>
  <c r="P37" i="2" s="1"/>
  <c r="O38" i="2"/>
  <c r="P38" i="2" s="1"/>
  <c r="O39" i="2"/>
  <c r="P39" i="2" s="1"/>
  <c r="O40" i="2"/>
  <c r="P40" i="2" s="1"/>
  <c r="O41" i="2"/>
  <c r="P41" i="2" s="1"/>
  <c r="O42" i="2"/>
  <c r="P42" i="2" s="1"/>
  <c r="O43" i="2"/>
  <c r="P43" i="2" s="1"/>
  <c r="O44" i="2"/>
  <c r="P44" i="2" s="1"/>
  <c r="O45" i="2"/>
  <c r="P45" i="2" s="1"/>
  <c r="O46" i="2"/>
  <c r="P46" i="2" s="1"/>
  <c r="O47" i="2"/>
  <c r="P47" i="2" s="1"/>
  <c r="O48" i="2"/>
  <c r="P48" i="2" s="1"/>
  <c r="O49" i="2"/>
  <c r="P49" i="2" s="1"/>
  <c r="O50" i="2"/>
  <c r="P50" i="2" s="1"/>
  <c r="O51" i="2"/>
  <c r="P51" i="2" s="1"/>
  <c r="O52" i="2"/>
  <c r="P52" i="2" s="1"/>
  <c r="O53" i="2"/>
  <c r="P53" i="2" s="1"/>
  <c r="O54" i="2"/>
  <c r="P54" i="2" s="1"/>
  <c r="O55" i="2"/>
  <c r="P55" i="2" s="1"/>
  <c r="O56" i="2"/>
  <c r="P56" i="2" s="1"/>
  <c r="O57" i="2"/>
  <c r="P57" i="2" s="1"/>
  <c r="O58" i="2"/>
  <c r="P58" i="2" s="1"/>
  <c r="T60" i="2" l="1"/>
  <c r="E5" i="2" l="1"/>
  <c r="F5" i="2" s="1"/>
  <c r="E4" i="2"/>
  <c r="E3" i="2"/>
  <c r="E6" i="2" s="1"/>
  <c r="E16" i="2" l="1"/>
  <c r="H35" i="1" s="1"/>
  <c r="E18" i="2"/>
  <c r="E17" i="2"/>
  <c r="H40" i="1" s="1"/>
  <c r="H41" i="1" l="1"/>
  <c r="H42" i="1" s="1"/>
  <c r="H36" i="1"/>
  <c r="H37" i="1" s="1"/>
  <c r="F16" i="1"/>
  <c r="E55" i="2"/>
  <c r="G47" i="2" l="1"/>
  <c r="H49" i="2" s="1"/>
  <c r="E45" i="2" s="1"/>
  <c r="K15" i="1"/>
  <c r="K14" i="1"/>
  <c r="E16" i="1"/>
  <c r="E26" i="2" s="1"/>
  <c r="G26" i="2" s="1"/>
  <c r="P75" i="2" l="1"/>
  <c r="O66" i="2" s="1"/>
  <c r="R66" i="2" s="1"/>
  <c r="E64" i="2" l="1"/>
  <c r="O67" i="2"/>
  <c r="R67" i="2" s="1"/>
  <c r="O69" i="2"/>
  <c r="R69" i="2" s="1"/>
  <c r="O68" i="2"/>
  <c r="R68" i="2" s="1"/>
  <c r="G11" i="2" l="1"/>
  <c r="H44" i="1" s="1"/>
  <c r="H45" i="1" s="1"/>
  <c r="H46" i="1" s="1"/>
  <c r="N5" i="2"/>
  <c r="E35" i="2"/>
  <c r="E36" i="2"/>
  <c r="E37" i="2"/>
  <c r="E38" i="2"/>
  <c r="E39" i="2"/>
  <c r="E41" i="2" l="1"/>
  <c r="O60" i="2"/>
  <c r="F36" i="2" l="1"/>
  <c r="F39" i="2"/>
  <c r="F38" i="2"/>
  <c r="F37" i="2"/>
  <c r="F35" i="2"/>
  <c r="F63" i="1" l="1"/>
  <c r="F41" i="2"/>
  <c r="P60" i="2"/>
  <c r="P66" i="2" s="1"/>
  <c r="E46" i="2"/>
  <c r="E47" i="2" s="1"/>
  <c r="E54" i="2" s="1"/>
  <c r="F42" i="2" l="1"/>
  <c r="E42" i="2"/>
  <c r="P67" i="2"/>
  <c r="P68" i="2"/>
  <c r="P69" i="2"/>
  <c r="P70" i="2" l="1"/>
  <c r="L38" i="1" s="1"/>
  <c r="J16" i="1"/>
  <c r="E31" i="2" s="1"/>
  <c r="G31" i="2" s="1"/>
  <c r="I16" i="1"/>
  <c r="E30" i="2" s="1"/>
  <c r="G30" i="2" s="1"/>
  <c r="H16" i="1"/>
  <c r="E29" i="2" s="1"/>
  <c r="G29" i="2" s="1"/>
  <c r="G16" i="1"/>
  <c r="E28" i="2" s="1"/>
  <c r="G28" i="2" s="1"/>
  <c r="E27" i="2" l="1"/>
  <c r="G27" i="2" s="1"/>
  <c r="G32" i="2" s="1"/>
  <c r="K16" i="1"/>
  <c r="D35" i="1" s="1"/>
  <c r="M63" i="2" l="1"/>
  <c r="O63" i="2" s="1"/>
  <c r="D42" i="1"/>
  <c r="D36" i="1"/>
  <c r="D37" i="1" s="1"/>
  <c r="F62" i="1"/>
  <c r="F61" i="1"/>
  <c r="Q68" i="2" l="1"/>
  <c r="Q69" i="2"/>
  <c r="Q66" i="2"/>
  <c r="Q67" i="2"/>
  <c r="D43" i="1"/>
  <c r="D44" i="1" s="1"/>
  <c r="Q70" i="2" l="1"/>
  <c r="R70" i="2"/>
  <c r="R71" i="2" s="1"/>
  <c r="L35" i="1" s="1"/>
  <c r="H48" i="1"/>
  <c r="L42" i="1" l="1"/>
  <c r="E53" i="1" s="1"/>
  <c r="E55" i="1" s="1"/>
</calcChain>
</file>

<file path=xl/sharedStrings.xml><?xml version="1.0" encoding="utf-8"?>
<sst xmlns="http://schemas.openxmlformats.org/spreadsheetml/2006/main" count="305" uniqueCount="236">
  <si>
    <t>Details</t>
  </si>
  <si>
    <t>Key</t>
  </si>
  <si>
    <t>Site address</t>
  </si>
  <si>
    <t>Planning Application Reference (if available)</t>
  </si>
  <si>
    <t>Text or numbers to be inputted</t>
  </si>
  <si>
    <t>Dropdown</t>
  </si>
  <si>
    <t>Description of the development</t>
  </si>
  <si>
    <t>Date of estimation</t>
  </si>
  <si>
    <t>Date estimator updated</t>
  </si>
  <si>
    <t>NB: S106 indexing date should be linked to this date if used for final calculation of owed S106 amounts.</t>
  </si>
  <si>
    <t>Inputs</t>
  </si>
  <si>
    <t>Residential - Non-Student</t>
  </si>
  <si>
    <t>Co-living: Sole occupancy units</t>
  </si>
  <si>
    <t>1 bedroom</t>
  </si>
  <si>
    <t>2 bedroom</t>
  </si>
  <si>
    <t>3 bedroom</t>
  </si>
  <si>
    <t>4 bedroom</t>
  </si>
  <si>
    <t>5 or more bedroom</t>
  </si>
  <si>
    <t>Total</t>
  </si>
  <si>
    <t>Houses</t>
  </si>
  <si>
    <t>Flats</t>
  </si>
  <si>
    <t>Residential - Student</t>
  </si>
  <si>
    <t>Number of bedspaces</t>
  </si>
  <si>
    <t>Note: If student housing proposed on a campus safeguarded by Policy LS2, remove any affordable housing contribution.</t>
  </si>
  <si>
    <r>
      <rPr>
        <b/>
        <sz val="11"/>
        <color theme="1"/>
        <rFont val="Aptos Narrow"/>
        <family val="2"/>
        <scheme val="minor"/>
      </rPr>
      <t>Floor area</t>
    </r>
    <r>
      <rPr>
        <sz val="11"/>
        <color theme="1"/>
        <rFont val="Aptos Narrow"/>
        <family val="2"/>
        <scheme val="minor"/>
      </rPr>
      <t xml:space="preserve"> (sq. m. or rooms)</t>
    </r>
  </si>
  <si>
    <t>Commercial (if applicable)  [G. Note: 1]</t>
  </si>
  <si>
    <t xml:space="preserve">Use - primary </t>
  </si>
  <si>
    <t>Fitness Centre - Mid-market (GIA)</t>
  </si>
  <si>
    <t>Select use from dropdown</t>
  </si>
  <si>
    <t>Leave this field blank where the development is residential only.</t>
  </si>
  <si>
    <r>
      <rPr>
        <b/>
        <sz val="11"/>
        <color theme="1"/>
        <rFont val="Aptos Narrow"/>
        <family val="2"/>
        <scheme val="minor"/>
      </rPr>
      <t xml:space="preserve">Note: </t>
    </r>
    <r>
      <rPr>
        <sz val="11"/>
        <color theme="1"/>
        <rFont val="Aptos Narrow"/>
        <family val="2"/>
        <scheme val="minor"/>
      </rPr>
      <t xml:space="preserve">Type of floor area to be inputted differs per use. Default is NIA, where GIA, GEA or beds (in the case of hotels) is applicable, this is stated after the use class. </t>
    </r>
  </si>
  <si>
    <t>Site details</t>
  </si>
  <si>
    <r>
      <t xml:space="preserve">Site Area </t>
    </r>
    <r>
      <rPr>
        <b/>
        <sz val="11"/>
        <color theme="1"/>
        <rFont val="Aptos Narrow"/>
        <family val="2"/>
        <scheme val="minor"/>
      </rPr>
      <t>[G. Note 2]</t>
    </r>
  </si>
  <si>
    <t>ha</t>
  </si>
  <si>
    <t>Onsite open space proposed</t>
  </si>
  <si>
    <t>sqm</t>
  </si>
  <si>
    <t>Overall site &amp; development details, inc. residential &amp; any commercial components.</t>
  </si>
  <si>
    <r>
      <t xml:space="preserve">Build Cost - </t>
    </r>
    <r>
      <rPr>
        <b/>
        <sz val="11"/>
        <color theme="1"/>
        <rFont val="Aptos Narrow"/>
        <family val="2"/>
        <scheme val="minor"/>
      </rPr>
      <t>Residential</t>
    </r>
    <r>
      <rPr>
        <sz val="11"/>
        <color theme="1"/>
        <rFont val="Aptos Narrow"/>
        <family val="2"/>
        <scheme val="minor"/>
      </rPr>
      <t xml:space="preserve"> </t>
    </r>
    <r>
      <rPr>
        <b/>
        <sz val="11"/>
        <color theme="1"/>
        <rFont val="Aptos Narrow"/>
        <family val="2"/>
        <scheme val="minor"/>
      </rPr>
      <t>[G. Note 3]</t>
    </r>
  </si>
  <si>
    <t>£</t>
  </si>
  <si>
    <t>Onsite affordable housing proposed</t>
  </si>
  <si>
    <t>units</t>
  </si>
  <si>
    <r>
      <t xml:space="preserve">Build Cost - </t>
    </r>
    <r>
      <rPr>
        <b/>
        <sz val="11"/>
        <color theme="1"/>
        <rFont val="Aptos Narrow"/>
        <family val="2"/>
        <scheme val="minor"/>
      </rPr>
      <t>Commercial</t>
    </r>
    <r>
      <rPr>
        <sz val="11"/>
        <color theme="1"/>
        <rFont val="Aptos Narrow"/>
        <family val="2"/>
        <scheme val="minor"/>
      </rPr>
      <t xml:space="preserve"> </t>
    </r>
    <r>
      <rPr>
        <b/>
        <sz val="11"/>
        <color theme="1"/>
        <rFont val="Aptos Narrow"/>
        <family val="2"/>
        <scheme val="minor"/>
      </rPr>
      <t>[G. Note 3]</t>
    </r>
  </si>
  <si>
    <t>Outputs</t>
  </si>
  <si>
    <t>Affordable Housing</t>
  </si>
  <si>
    <t>Education 
[G. Note 5]</t>
  </si>
  <si>
    <t>Employment &amp; Training 
[G. Note 4]</t>
  </si>
  <si>
    <r>
      <rPr>
        <b/>
        <sz val="11"/>
        <color theme="1"/>
        <rFont val="Aptos Narrow"/>
        <family val="2"/>
        <scheme val="minor"/>
      </rPr>
      <t>Total</t>
    </r>
    <r>
      <rPr>
        <sz val="11"/>
        <color theme="1"/>
        <rFont val="Aptos Narrow"/>
        <family val="2"/>
        <scheme val="minor"/>
      </rPr>
      <t xml:space="preserve"> affordable housing units required onsite </t>
    </r>
  </si>
  <si>
    <t>Primary school contribution</t>
  </si>
  <si>
    <t xml:space="preserve">A contribution of </t>
  </si>
  <si>
    <r>
      <rPr>
        <b/>
        <sz val="11"/>
        <rFont val="Aptos Narrow"/>
        <family val="2"/>
        <scheme val="minor"/>
      </rPr>
      <t xml:space="preserve">Deficit </t>
    </r>
    <r>
      <rPr>
        <sz val="11"/>
        <rFont val="Aptos Narrow"/>
        <family val="2"/>
        <scheme val="minor"/>
      </rPr>
      <t>- no of affordable units required less number provided on site</t>
    </r>
  </si>
  <si>
    <t>Primary school SEND top-up</t>
  </si>
  <si>
    <t>towards supporting local people to access construction jobs</t>
  </si>
  <si>
    <t xml:space="preserve">Total affordable housing contribution to offset deficit </t>
  </si>
  <si>
    <t>Total primary school contribution</t>
  </si>
  <si>
    <t>Open Space</t>
  </si>
  <si>
    <t>towards supporting local people access jobs in the development</t>
  </si>
  <si>
    <t>Secondary school contribution</t>
  </si>
  <si>
    <t>Secondary school SEND top-up</t>
  </si>
  <si>
    <t>Total open space required onsite</t>
  </si>
  <si>
    <t>Total Secondary school contribution</t>
  </si>
  <si>
    <t>Total direct contribution for employment and training</t>
  </si>
  <si>
    <t>Deficit - open space required less open space provided onsite</t>
  </si>
  <si>
    <t xml:space="preserve">Total open space contribution to offset deficit </t>
  </si>
  <si>
    <t>Post-16 school contribution</t>
  </si>
  <si>
    <t>Post-16 SEND top-up</t>
  </si>
  <si>
    <t>Total Post-16 contribution</t>
  </si>
  <si>
    <t>Total contribution for Education</t>
  </si>
  <si>
    <t>Total S106</t>
  </si>
  <si>
    <t xml:space="preserve">A total S106 contribution of </t>
  </si>
  <si>
    <t>would be required for this site (excluding Council legal fees)</t>
  </si>
  <si>
    <t>with</t>
  </si>
  <si>
    <t>of this fee reserved for monitoring and administration costs</t>
  </si>
  <si>
    <t>General Notes</t>
  </si>
  <si>
    <r>
      <t>[1] Commercial</t>
    </r>
    <r>
      <rPr>
        <sz val="10"/>
        <color theme="1"/>
        <rFont val="Aptos Narrow"/>
        <family val="2"/>
        <scheme val="minor"/>
      </rPr>
      <t xml:space="preserve"> = Select the type of commercial use most applicable for this development. If more than one use is proposed, use the next set of boxes to provide the other proposed commercial uses. If use is not known beyond use class E, there is an option to select this (Generic Use Class E). Note that in the absence of further detail we assume that each employee will occupy 10 sqm of NIA for use class E. </t>
    </r>
    <r>
      <rPr>
        <b/>
        <sz val="10"/>
        <color theme="1"/>
        <rFont val="Aptos Narrow"/>
        <family val="2"/>
        <scheme val="minor"/>
      </rPr>
      <t xml:space="preserve">
</t>
    </r>
    <r>
      <rPr>
        <sz val="10"/>
        <color theme="1"/>
        <rFont val="Aptos Narrow"/>
        <family val="2"/>
        <scheme val="minor"/>
      </rPr>
      <t>Acronyms used are:</t>
    </r>
    <r>
      <rPr>
        <b/>
        <sz val="10"/>
        <color theme="1"/>
        <rFont val="Aptos Narrow"/>
        <family val="2"/>
        <scheme val="minor"/>
      </rPr>
      <t xml:space="preserve">
NIA </t>
    </r>
    <r>
      <rPr>
        <sz val="10"/>
        <color theme="1"/>
        <rFont val="Aptos Narrow"/>
        <family val="2"/>
        <scheme val="minor"/>
      </rPr>
      <t xml:space="preserve">= Net Internal Area
</t>
    </r>
    <r>
      <rPr>
        <b/>
        <sz val="10"/>
        <color theme="1"/>
        <rFont val="Aptos Narrow"/>
        <family val="2"/>
        <scheme val="minor"/>
      </rPr>
      <t>GIA =</t>
    </r>
    <r>
      <rPr>
        <sz val="10"/>
        <color theme="1"/>
        <rFont val="Aptos Narrow"/>
        <family val="2"/>
        <scheme val="minor"/>
      </rPr>
      <t xml:space="preserve"> Gross Internal Area
</t>
    </r>
    <r>
      <rPr>
        <b/>
        <sz val="10"/>
        <color theme="1"/>
        <rFont val="Aptos Narrow"/>
        <family val="2"/>
        <scheme val="minor"/>
      </rPr>
      <t xml:space="preserve">GEA = </t>
    </r>
    <r>
      <rPr>
        <sz val="10"/>
        <color theme="1"/>
        <rFont val="Aptos Narrow"/>
        <family val="2"/>
        <scheme val="minor"/>
      </rPr>
      <t>Gross External Area</t>
    </r>
    <r>
      <rPr>
        <b/>
        <sz val="10"/>
        <color theme="1"/>
        <rFont val="Aptos Narrow"/>
        <family val="2"/>
        <scheme val="minor"/>
      </rPr>
      <t xml:space="preserve">
</t>
    </r>
  </si>
  <si>
    <t>[5] Education</t>
  </si>
  <si>
    <r>
      <rPr>
        <b/>
        <sz val="10"/>
        <color theme="1"/>
        <rFont val="Aptos Narrow"/>
        <family val="2"/>
        <scheme val="minor"/>
      </rPr>
      <t>General Disclaimer</t>
    </r>
    <r>
      <rPr>
        <sz val="10"/>
        <color theme="1"/>
        <rFont val="Aptos Narrow"/>
        <family val="2"/>
        <scheme val="minor"/>
      </rPr>
      <t>: The outputs generated by this S106 Estimator are indicative and are provided solely to give an early understanding of the developer contributions that the Council is likely to seek, including but not limited to affordable housing, open space, education, and employment &amp; training. The figures produced do not constitute a formal assessment, offer, or agreement, and they should not be relied upon as a definitive statement of the Council’s requirements. The Council reserves the right to amend its requirements as new information becomes available. Developers are strongly encouraged to engage with the Council at an early stage to obtain tailored, site‑specific advice.</t>
    </r>
  </si>
  <si>
    <t>This calculation is based on the development generating the demand for -</t>
  </si>
  <si>
    <t>primary school places</t>
  </si>
  <si>
    <t>secondary school places</t>
  </si>
  <si>
    <t>Post-16 school places</t>
  </si>
  <si>
    <r>
      <rPr>
        <b/>
        <sz val="10"/>
        <color theme="1"/>
        <rFont val="Aptos Narrow"/>
        <family val="2"/>
        <scheme val="minor"/>
      </rPr>
      <t xml:space="preserve">Note: </t>
    </r>
    <r>
      <rPr>
        <sz val="10"/>
        <color theme="1"/>
        <rFont val="Aptos Narrow"/>
        <family val="2"/>
        <scheme val="minor"/>
      </rPr>
      <t xml:space="preserve">Education contributions are subject to review and </t>
    </r>
    <r>
      <rPr>
        <b/>
        <sz val="10"/>
        <color theme="1"/>
        <rFont val="Aptos Narrow"/>
        <family val="2"/>
        <scheme val="minor"/>
      </rPr>
      <t>may be reduced, or not required, where sufficient capacity exists (including forecasted capacity).</t>
    </r>
    <r>
      <rPr>
        <sz val="10"/>
        <color theme="1"/>
        <rFont val="Aptos Narrow"/>
        <family val="2"/>
        <scheme val="minor"/>
      </rPr>
      <t xml:space="preserve"> Conversely, there may be circumstances in which additional contributions are required on a case‑by‑case basis, for example to address specific site constraints, infrastructure needs, or service pressures not captured within this tool. All contributions are ultimately determined through the planning application process, informed by up‑to‑date evidence, statutory consultation, and relevant local and national planning policies. </t>
    </r>
  </si>
  <si>
    <r>
      <rPr>
        <b/>
        <sz val="10"/>
        <color theme="1"/>
        <rFont val="Aptos Narrow"/>
        <family val="2"/>
        <scheme val="minor"/>
      </rPr>
      <t xml:space="preserve">[2] Site Area: </t>
    </r>
    <r>
      <rPr>
        <sz val="10"/>
        <color theme="1"/>
        <rFont val="Aptos Narrow"/>
        <family val="2"/>
        <scheme val="minor"/>
      </rPr>
      <t xml:space="preserve">This is only mandatory for a residential development with a non-student component where the number of non-student residential units is 14 or less. In such instances, it is essential that this is completed to ensure that the right amount of affordable housing units is calculated. </t>
    </r>
  </si>
  <si>
    <t xml:space="preserve">Relevant policies </t>
  </si>
  <si>
    <t>Adopted Local Plan</t>
  </si>
  <si>
    <r>
      <rPr>
        <b/>
        <sz val="10"/>
        <color theme="1"/>
        <rFont val="Aptos Narrow"/>
        <family val="2"/>
        <scheme val="minor"/>
      </rPr>
      <t xml:space="preserve">[3] Build Cost: </t>
    </r>
    <r>
      <rPr>
        <sz val="10"/>
        <color theme="1"/>
        <rFont val="Aptos Narrow"/>
        <family val="2"/>
        <scheme val="minor"/>
      </rPr>
      <t>Ensure construction costs are entered in the correct category (residential or commercial). For mixed-use schemes, split costs between the two. Residential includes all student and non-student costs. For developments with multiple commercial uses, contact the policy team for a more detailed estimation as a more nuanced approach will be needed that allowed by this estimator.
This includes costs of construction, including any contingencies, and site clearance, remediation or preparation costs. It excludes costs such as professional fees, finance, planning and building control fees.  (Wording draws on RICS Valuation of development property - 1st edition - 2019.)</t>
    </r>
  </si>
  <si>
    <t>S106 webpage and SPDs relating to planning obligations</t>
  </si>
  <si>
    <t>Education</t>
  </si>
  <si>
    <t>Total -  2-4 bed houses, 3+ bed flats</t>
  </si>
  <si>
    <t>Average sale price of semi detached home</t>
  </si>
  <si>
    <t>NB - exclude additional &amp; leasehold transactions when updating</t>
  </si>
  <si>
    <t>Total - 2 bed flats</t>
  </si>
  <si>
    <t>Equivalent dwellings</t>
  </si>
  <si>
    <t>Total - 5+ bed houses</t>
  </si>
  <si>
    <t>Contribution per affordable unit required</t>
  </si>
  <si>
    <t>"Planning permission for new residential developments including conversions will be granted subject to the following affordable housing targets, where viable: a) For development where between 10 and 14 homes will be provided, at least 10% of the homes will be required to be available for affordable home ownership; b) For development where 15 or more homes will be provided, or the site has an area of 0.5 hectares or more, 20% of the homes will be required to be affordable housing</t>
  </si>
  <si>
    <t>Assumptions</t>
  </si>
  <si>
    <t>Non-student</t>
  </si>
  <si>
    <t xml:space="preserve">Note: 5+ bed houses counted as </t>
  </si>
  <si>
    <t>dwelling units</t>
  </si>
  <si>
    <t>Primary</t>
  </si>
  <si>
    <t>Secondary</t>
  </si>
  <si>
    <t>Post 16</t>
  </si>
  <si>
    <t>hectares</t>
  </si>
  <si>
    <t>Cost</t>
  </si>
  <si>
    <t>requirement</t>
  </si>
  <si>
    <t>Children per house</t>
  </si>
  <si>
    <t>Children per 2 bed flat</t>
  </si>
  <si>
    <t>Using a 5 bedspaces = 1 dwelling equivalence , Policy HO3 (10+ dwellings) therefore applies to PBSA schemes of ≥50 bedspaces (new build or conversion), with affordable housing requirements of 0% for &lt;50 bedspaces, 10% for 50–74, and 20% for ≥75.</t>
  </si>
  <si>
    <t>SEND %</t>
  </si>
  <si>
    <t>Student</t>
  </si>
  <si>
    <t>beds equal 1 dwelling</t>
  </si>
  <si>
    <t>beds</t>
  </si>
  <si>
    <t>Primary School Learners</t>
  </si>
  <si>
    <t>Secondary School Learners</t>
  </si>
  <si>
    <t>Post 16 Learners</t>
  </si>
  <si>
    <t xml:space="preserve">If less than </t>
  </si>
  <si>
    <t>dwelling units, then education contribution not required.</t>
  </si>
  <si>
    <t>Min.contribution to trigger cons. contribution</t>
  </si>
  <si>
    <t>Use</t>
  </si>
  <si>
    <t>sqm /rooms per emp.</t>
  </si>
  <si>
    <t>Total sqm proposed / rooms</t>
  </si>
  <si>
    <t>Est. num. emp. - operations</t>
  </si>
  <si>
    <t>Con.Cat.</t>
  </si>
  <si>
    <t>Cons. FTE per £1m</t>
  </si>
  <si>
    <t>Com. Con. Cost</t>
  </si>
  <si>
    <t>Est. num. emp. - construction</t>
  </si>
  <si>
    <t>Amusement and Entertainment Centres (GIA)</t>
  </si>
  <si>
    <t>Hospital, school, leisure</t>
  </si>
  <si>
    <t>Call centres</t>
  </si>
  <si>
    <t>Hotel , offices, retail &amp; mixed  use, sports stadia</t>
  </si>
  <si>
    <t>Number proposed</t>
  </si>
  <si>
    <t>Average persons</t>
  </si>
  <si>
    <t>Total people</t>
  </si>
  <si>
    <t>Cinema (GIA)</t>
  </si>
  <si>
    <t>Coliving / Sole Occupancy</t>
  </si>
  <si>
    <t>Data Centres - Co-location facility</t>
  </si>
  <si>
    <t>Industrial sites/infrastructure</t>
  </si>
  <si>
    <t>1 beds</t>
  </si>
  <si>
    <t>Data Centres - Dark Site</t>
  </si>
  <si>
    <t>2 beds</t>
  </si>
  <si>
    <t>Data Centres - Wholesale</t>
  </si>
  <si>
    <t>3 beds</t>
  </si>
  <si>
    <t>Finance and Prof Services</t>
  </si>
  <si>
    <t>4 beds</t>
  </si>
  <si>
    <t>Fitness Centre - Budget (GIA)</t>
  </si>
  <si>
    <t>5+ beds</t>
  </si>
  <si>
    <t>Fitness Centre - Family (GIA)</t>
  </si>
  <si>
    <t>Generic Use Class E (NIA)</t>
  </si>
  <si>
    <t>Number of employees</t>
  </si>
  <si>
    <t>Hotels - Budget (Beds)</t>
  </si>
  <si>
    <t>Offices - Corporate</t>
  </si>
  <si>
    <t>Hotels - Mid scale (Beds)</t>
  </si>
  <si>
    <t>Offices - Finance and Insurance</t>
  </si>
  <si>
    <t>Hotels - Upscale (Beds)</t>
  </si>
  <si>
    <t xml:space="preserve">Offices - Professional services </t>
  </si>
  <si>
    <t>Hotels - Luxury (Beds)</t>
  </si>
  <si>
    <t>Offices - Public sector</t>
  </si>
  <si>
    <t>Industrial and Manufacturing (GIA)</t>
  </si>
  <si>
    <t>Offices - TMT</t>
  </si>
  <si>
    <t xml:space="preserve">Light Industrial </t>
  </si>
  <si>
    <t>R and D</t>
  </si>
  <si>
    <t>Total open space required - sqm per person</t>
  </si>
  <si>
    <t>Update</t>
  </si>
  <si>
    <t>Open space cost per hectare</t>
  </si>
  <si>
    <t>BCIS - April 26</t>
  </si>
  <si>
    <t>BCIS - XX</t>
  </si>
  <si>
    <t>Open space cost per sqm</t>
  </si>
  <si>
    <t>Restaurants and Cafes</t>
  </si>
  <si>
    <t>Cost per person</t>
  </si>
  <si>
    <t>Increase</t>
  </si>
  <si>
    <t>Retail - Food store</t>
  </si>
  <si>
    <t>If less than X sqm of com.space, OS contribution not required.</t>
  </si>
  <si>
    <t>Amount April 26</t>
  </si>
  <si>
    <t>Retail - High Street</t>
  </si>
  <si>
    <t>If less than X  student beds, OS contribution not required.</t>
  </si>
  <si>
    <t>Amount XX</t>
  </si>
  <si>
    <t>Retail - Retail Warehouse</t>
  </si>
  <si>
    <t>If less than X res units, OS contribution not required.</t>
  </si>
  <si>
    <t>Small Business - Co-working</t>
  </si>
  <si>
    <t>Small Business - Incubator</t>
  </si>
  <si>
    <t>Percentage of people who work in NCC, but live outside</t>
  </si>
  <si>
    <t>Small Business - Maker spaces</t>
  </si>
  <si>
    <t>Further discount - employees not use all open space</t>
  </si>
  <si>
    <t>Small Business - Managed Workspace</t>
  </si>
  <si>
    <t>Cost per employee</t>
  </si>
  <si>
    <t>Small Business - Studio</t>
  </si>
  <si>
    <t>Open space per employee</t>
  </si>
  <si>
    <t>Storage and Distribution - 'Final Mile' (GEA)</t>
  </si>
  <si>
    <t>Storage and Distribution - National Centre (GEA)</t>
  </si>
  <si>
    <t>Storage and Distribution - Regional Centre (GEA)</t>
  </si>
  <si>
    <t>Visitor and Cultural Attractions (GIA)</t>
  </si>
  <si>
    <t>Residential Construction Cost</t>
  </si>
  <si>
    <t>Est. num. emp. - cons.</t>
  </si>
  <si>
    <t>Monitoring and administration fees</t>
  </si>
  <si>
    <t>Max (April 23)</t>
  </si>
  <si>
    <t>Legal fees</t>
  </si>
  <si>
    <t>Max (April 26)</t>
  </si>
  <si>
    <t>(RPI increase)</t>
  </si>
  <si>
    <t>Proportion - Construction</t>
  </si>
  <si>
    <t>Proportion - Operations</t>
  </si>
  <si>
    <t>Employment &amp; Training Cost</t>
  </si>
  <si>
    <t>Job Calc. - Operations</t>
  </si>
  <si>
    <t>Job Calculations - Construction - Res.</t>
  </si>
  <si>
    <t>Job Calculations - Construction - Com.</t>
  </si>
  <si>
    <t>Nott jobs admin</t>
  </si>
  <si>
    <t>Pre emp training</t>
  </si>
  <si>
    <t>Upskilling</t>
  </si>
  <si>
    <t>Input, no formula</t>
  </si>
  <si>
    <t>Work experience</t>
  </si>
  <si>
    <t>Input, figure to be adjusted in annual update</t>
  </si>
  <si>
    <t>Formula only</t>
  </si>
  <si>
    <t>Additional uplift - pre-employment training</t>
  </si>
  <si>
    <t>Total Construction</t>
  </si>
  <si>
    <t>Update process</t>
  </si>
  <si>
    <t>Growth</t>
  </si>
  <si>
    <t>Emp. and Train. / Monitoring</t>
  </si>
  <si>
    <t>1) Look up the latest RPI index from UK  DMO</t>
  </si>
  <si>
    <t>RPI</t>
  </si>
  <si>
    <t>372.8</t>
  </si>
  <si>
    <t xml:space="preserve">2) Input this into O75 - this will automatically update the relevant figures. </t>
  </si>
  <si>
    <t xml:space="preserve">3) Confirm with relevant departments. </t>
  </si>
  <si>
    <t>Employment &amp; Training Cost (April 23)</t>
  </si>
  <si>
    <t>1) Request BCIS All-Tender Index from Open Space</t>
  </si>
  <si>
    <t xml:space="preserve">2) Input this into H46 - this will automatically update the relevant figures. </t>
  </si>
  <si>
    <t>3) Confirm with relevant department.</t>
  </si>
  <si>
    <t>For comparison - in April 26 (SPD approval), these figures are</t>
  </si>
  <si>
    <t xml:space="preserve">1) Look up the latest RPI index at </t>
  </si>
  <si>
    <t xml:space="preserve">Latest regional scorecard </t>
  </si>
  <si>
    <t>2) Increase this figure by 10%, and then confirm with Education</t>
  </si>
  <si>
    <t>Employment data from: https://www.kirklees.gov.uk/beta/planning-policy/pdf/examination/national-evidence/NE48_employment_density_guide_3rd_edition.pdf</t>
  </si>
  <si>
    <t>3) Input revised figures into E11 and F11</t>
  </si>
  <si>
    <r>
      <t xml:space="preserve">1) Download for the last year all semi-detached housing sales, </t>
    </r>
    <r>
      <rPr>
        <b/>
        <sz val="11"/>
        <color theme="1"/>
        <rFont val="Aptos Narrow"/>
        <family val="2"/>
        <scheme val="minor"/>
      </rPr>
      <t>excluding additional transactions and leasehold (see image below),</t>
    </r>
    <r>
      <rPr>
        <sz val="11"/>
        <color theme="1"/>
        <rFont val="Aptos Narrow"/>
        <family val="2"/>
        <scheme val="minor"/>
      </rPr>
      <t xml:space="preserve"> from</t>
    </r>
  </si>
  <si>
    <t>For comparison - in April 26, these figures are</t>
  </si>
  <si>
    <t>Price paid dataset - exclude additional transactions</t>
  </si>
  <si>
    <t>2) Calculate the average house price from this data, and input this figure into N3</t>
  </si>
  <si>
    <r>
      <rPr>
        <b/>
        <sz val="10"/>
        <color theme="1"/>
        <rFont val="Aptos Narrow"/>
        <family val="2"/>
        <scheme val="minor"/>
      </rPr>
      <t xml:space="preserve">[4] Employment and Training: </t>
    </r>
    <r>
      <rPr>
        <sz val="10"/>
        <color theme="1"/>
        <rFont val="Aptos Narrow"/>
        <family val="2"/>
        <scheme val="minor"/>
      </rPr>
      <t>Please note that this relates only to the direct financial contribution. Additional employment and training requirements may be secured through an Employment and Training Plan, including employment and skills targets. Early engagement with the Nottingham Jobs team is therefore recommended.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</si>
</sst>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0.0%"/>
    <numFmt numFmtId="167" formatCode="&quot;£&quot;#,##0"/>
    <numFmt numFmtId="168" formatCode="_-* #,##0.0_-;\-* #,##0.0_-;_-* &quot;-&quot;??_-;_-@_-"/>
    <numFmt numFmtId="169" formatCode="_-* #,##0_-;\-* #,##0_-;_-* &quot;-&quot;??_-;_-@_-"/>
    <numFmt numFmtId="170" formatCode="_-[$£-809]* #,##0.00_-;\-[$£-809]* #,##0.00_-;_-[$£-809]* &quot;-&quot;??_-;_-@_-"/>
    <numFmt numFmtId="171" formatCode="[$-F800]dddd\,\ mmmm\ dd\,\ yyyy"/>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u/>
      <sz val="11"/>
      <color theme="10"/>
      <name val="Aptos Narrow"/>
      <family val="2"/>
      <scheme val="minor"/>
    </font>
    <font>
      <b/>
      <sz val="11"/>
      <color theme="0"/>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sz val="10"/>
      <color theme="1"/>
      <name val="Aptos Narrow"/>
      <family val="2"/>
      <scheme val="minor"/>
    </font>
    <font>
      <b/>
      <sz val="10"/>
      <color theme="1"/>
      <name val="Aptos Narrow"/>
      <family val="2"/>
      <scheme val="minor"/>
    </font>
    <font>
      <i/>
      <sz val="10"/>
      <color theme="1"/>
      <name val="Aptos Narrow"/>
      <family val="2"/>
      <scheme val="minor"/>
    </font>
    <font>
      <sz val="9"/>
      <color theme="1"/>
      <name val="Aptos Narrow"/>
      <family val="2"/>
      <scheme val="minor"/>
    </font>
    <font>
      <sz val="12"/>
      <color theme="1"/>
      <name val="Aptos"/>
      <family val="2"/>
    </font>
    <font>
      <b/>
      <sz val="9"/>
      <color theme="1"/>
      <name val="Aptos Narrow"/>
      <family val="2"/>
      <scheme val="minor"/>
    </font>
    <font>
      <u/>
      <sz val="9"/>
      <color theme="10"/>
      <name val="Aptos Narrow"/>
      <family val="2"/>
      <scheme val="minor"/>
    </font>
    <font>
      <b/>
      <u/>
      <sz val="11"/>
      <color theme="1"/>
      <name val="Aptos Narrow"/>
      <family val="2"/>
      <scheme val="minor"/>
    </font>
    <font>
      <sz val="11"/>
      <name val="Aptos Narrow"/>
      <family val="2"/>
      <scheme val="minor"/>
    </font>
    <font>
      <b/>
      <sz val="11"/>
      <name val="Aptos Narrow"/>
      <family val="2"/>
      <scheme val="minor"/>
    </font>
    <font>
      <sz val="14"/>
      <color theme="1"/>
      <name val="Aptos Narrow"/>
      <family val="2"/>
      <scheme val="minor"/>
    </font>
    <font>
      <b/>
      <sz val="14"/>
      <color theme="1"/>
      <name val="Aptos Narrow"/>
      <family val="2"/>
      <scheme val="minor"/>
    </font>
    <font>
      <sz val="16"/>
      <color theme="1"/>
      <name val="Aptos Narrow"/>
      <family val="2"/>
      <scheme val="minor"/>
    </font>
    <font>
      <sz val="10"/>
      <color indexed="8"/>
      <name val="Arial"/>
      <family val="2"/>
    </font>
  </fonts>
  <fills count="13">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23" fillId="0" borderId="0">
      <alignment vertical="top"/>
    </xf>
  </cellStyleXfs>
  <cellXfs count="268">
    <xf numFmtId="0" fontId="0" fillId="0" borderId="0" xfId="0"/>
    <xf numFmtId="0" fontId="10" fillId="0" borderId="0" xfId="0" applyFont="1" applyAlignment="1">
      <alignment wrapText="1"/>
    </xf>
    <xf numFmtId="0" fontId="10" fillId="0" borderId="1" xfId="0" applyFont="1" applyBorder="1" applyAlignment="1">
      <alignment wrapText="1"/>
    </xf>
    <xf numFmtId="0" fontId="10" fillId="0" borderId="2" xfId="0" applyFont="1" applyBorder="1" applyAlignment="1">
      <alignment wrapText="1"/>
    </xf>
    <xf numFmtId="0" fontId="10" fillId="0" borderId="5" xfId="0" applyFont="1" applyBorder="1" applyAlignment="1">
      <alignment wrapText="1"/>
    </xf>
    <xf numFmtId="0" fontId="10" fillId="0" borderId="6" xfId="0" applyFont="1" applyBorder="1" applyAlignment="1">
      <alignment wrapText="1"/>
    </xf>
    <xf numFmtId="0" fontId="10" fillId="0" borderId="7" xfId="0" applyFont="1" applyBorder="1" applyAlignment="1">
      <alignment wrapText="1"/>
    </xf>
    <xf numFmtId="0" fontId="10" fillId="0" borderId="3" xfId="0" applyFont="1" applyBorder="1" applyAlignment="1">
      <alignment wrapText="1"/>
    </xf>
    <xf numFmtId="0" fontId="11" fillId="0" borderId="8" xfId="0" applyFont="1" applyBorder="1" applyAlignment="1">
      <alignment horizontal="right" wrapText="1"/>
    </xf>
    <xf numFmtId="0" fontId="10" fillId="0" borderId="8" xfId="0" applyFont="1" applyBorder="1" applyAlignment="1">
      <alignment wrapText="1"/>
    </xf>
    <xf numFmtId="0" fontId="10" fillId="0" borderId="9" xfId="0" applyFont="1" applyBorder="1" applyAlignment="1">
      <alignment wrapText="1"/>
    </xf>
    <xf numFmtId="0" fontId="11" fillId="0" borderId="1" xfId="0" applyFont="1" applyBorder="1" applyAlignment="1">
      <alignment wrapText="1"/>
    </xf>
    <xf numFmtId="0" fontId="10" fillId="0" borderId="0" xfId="0" applyFont="1" applyAlignment="1" applyProtection="1">
      <alignment wrapText="1"/>
      <protection locked="0"/>
    </xf>
    <xf numFmtId="0" fontId="10" fillId="0" borderId="8" xfId="0" applyFont="1" applyBorder="1" applyAlignment="1" applyProtection="1">
      <alignment wrapText="1"/>
      <protection locked="0"/>
    </xf>
    <xf numFmtId="0" fontId="10" fillId="6" borderId="2" xfId="0" applyFont="1" applyFill="1" applyBorder="1" applyAlignment="1">
      <alignment wrapText="1"/>
    </xf>
    <xf numFmtId="0" fontId="10" fillId="6" borderId="5" xfId="0" applyFont="1" applyFill="1" applyBorder="1" applyAlignment="1">
      <alignment wrapText="1"/>
    </xf>
    <xf numFmtId="0" fontId="11" fillId="6" borderId="2" xfId="0" applyFont="1" applyFill="1" applyBorder="1" applyAlignment="1">
      <alignment wrapText="1"/>
    </xf>
    <xf numFmtId="0" fontId="11" fillId="0" borderId="2" xfId="0" applyFont="1" applyBorder="1" applyAlignment="1">
      <alignment wrapText="1"/>
    </xf>
    <xf numFmtId="0" fontId="9" fillId="0" borderId="0" xfId="0" applyFont="1" applyAlignment="1">
      <alignment wrapText="1"/>
    </xf>
    <xf numFmtId="0" fontId="8" fillId="0" borderId="0" xfId="0" applyFont="1" applyAlignment="1">
      <alignment horizontal="right" wrapText="1"/>
    </xf>
    <xf numFmtId="9" fontId="10" fillId="0" borderId="0" xfId="0" applyNumberFormat="1" applyFont="1" applyAlignment="1">
      <alignment wrapText="1"/>
    </xf>
    <xf numFmtId="0" fontId="0" fillId="0" borderId="0" xfId="0" applyAlignment="1">
      <alignment vertical="top" wrapText="1"/>
    </xf>
    <xf numFmtId="0" fontId="9" fillId="0" borderId="0" xfId="0" applyFont="1" applyAlignment="1">
      <alignment horizontal="right" wrapText="1"/>
    </xf>
    <xf numFmtId="0" fontId="8" fillId="0" borderId="0" xfId="0" applyFont="1" applyAlignment="1">
      <alignment wrapText="1"/>
    </xf>
    <xf numFmtId="164" fontId="8" fillId="0" borderId="0" xfId="0" applyNumberFormat="1" applyFont="1" applyAlignment="1">
      <alignment wrapText="1"/>
    </xf>
    <xf numFmtId="0" fontId="4" fillId="0" borderId="0" xfId="0" applyFont="1" applyAlignment="1">
      <alignment wrapText="1"/>
    </xf>
    <xf numFmtId="0" fontId="14" fillId="0" borderId="0" xfId="0" applyFont="1" applyAlignment="1">
      <alignment vertical="center"/>
    </xf>
    <xf numFmtId="0" fontId="0" fillId="0" borderId="0" xfId="0" applyAlignment="1">
      <alignment wrapText="1"/>
    </xf>
    <xf numFmtId="0" fontId="11" fillId="0" borderId="0" xfId="0" applyFont="1" applyAlignment="1">
      <alignment wrapText="1"/>
    </xf>
    <xf numFmtId="0" fontId="10" fillId="6" borderId="1" xfId="0" applyFont="1" applyFill="1" applyBorder="1" applyAlignment="1">
      <alignment wrapText="1"/>
    </xf>
    <xf numFmtId="0" fontId="13" fillId="0" borderId="0" xfId="0" applyFont="1" applyAlignment="1">
      <alignment wrapText="1"/>
    </xf>
    <xf numFmtId="168" fontId="13" fillId="0" borderId="0" xfId="0" applyNumberFormat="1" applyFont="1" applyAlignment="1">
      <alignment vertical="top"/>
    </xf>
    <xf numFmtId="0" fontId="13" fillId="0" borderId="0" xfId="0" applyFont="1" applyAlignment="1">
      <alignment vertical="top"/>
    </xf>
    <xf numFmtId="0" fontId="16" fillId="0" borderId="0" xfId="4" applyFont="1" applyAlignment="1">
      <alignment wrapText="1"/>
    </xf>
    <xf numFmtId="0" fontId="15" fillId="0" borderId="0" xfId="0" applyFont="1"/>
    <xf numFmtId="0" fontId="13" fillId="0" borderId="0" xfId="0" applyFont="1"/>
    <xf numFmtId="0" fontId="10" fillId="0" borderId="0" xfId="0" applyFont="1"/>
    <xf numFmtId="0" fontId="2" fillId="0" borderId="0" xfId="0" applyFont="1" applyAlignment="1">
      <alignment horizontal="right" wrapText="1"/>
    </xf>
    <xf numFmtId="164" fontId="2" fillId="7" borderId="4" xfId="0" applyNumberFormat="1" applyFont="1" applyFill="1" applyBorder="1" applyAlignment="1">
      <alignment wrapText="1"/>
    </xf>
    <xf numFmtId="0" fontId="4" fillId="0" borderId="0" xfId="0" applyFont="1" applyAlignment="1">
      <alignment horizontal="left" wrapText="1"/>
    </xf>
    <xf numFmtId="0" fontId="0" fillId="0" borderId="4" xfId="0" applyBorder="1" applyAlignment="1">
      <alignment wrapText="1"/>
    </xf>
    <xf numFmtId="169" fontId="2" fillId="10" borderId="4" xfId="1" applyNumberFormat="1" applyFont="1" applyFill="1" applyBorder="1" applyAlignment="1" applyProtection="1">
      <alignment wrapText="1"/>
      <protection locked="0"/>
    </xf>
    <xf numFmtId="169" fontId="2" fillId="0" borderId="4" xfId="1" applyNumberFormat="1" applyFont="1" applyBorder="1" applyAlignment="1">
      <alignment wrapText="1"/>
    </xf>
    <xf numFmtId="43" fontId="2" fillId="10" borderId="4" xfId="1" applyFont="1" applyFill="1" applyBorder="1" applyAlignment="1" applyProtection="1">
      <alignment wrapText="1"/>
      <protection locked="0"/>
    </xf>
    <xf numFmtId="0" fontId="0" fillId="0" borderId="0" xfId="0" applyAlignment="1">
      <alignment horizontal="right" wrapText="1"/>
    </xf>
    <xf numFmtId="0" fontId="0" fillId="0" borderId="6" xfId="0" applyBorder="1" applyAlignment="1">
      <alignment horizontal="right" wrapText="1"/>
    </xf>
    <xf numFmtId="44" fontId="0" fillId="0" borderId="4" xfId="2" applyFont="1" applyBorder="1" applyAlignment="1">
      <alignment wrapText="1"/>
    </xf>
    <xf numFmtId="44" fontId="0" fillId="0" borderId="4" xfId="0" applyNumberFormat="1" applyBorder="1" applyAlignment="1">
      <alignment horizontal="right" wrapText="1"/>
    </xf>
    <xf numFmtId="0" fontId="18" fillId="0" borderId="0" xfId="0" applyFont="1" applyAlignment="1">
      <alignment horizontal="right" wrapText="1"/>
    </xf>
    <xf numFmtId="44" fontId="0" fillId="0" borderId="4" xfId="0" applyNumberFormat="1" applyBorder="1" applyAlignment="1">
      <alignment wrapText="1"/>
    </xf>
    <xf numFmtId="170" fontId="2" fillId="2" borderId="4" xfId="0" applyNumberFormat="1" applyFont="1" applyFill="1" applyBorder="1" applyAlignment="1">
      <alignment wrapText="1"/>
    </xf>
    <xf numFmtId="0" fontId="0" fillId="0" borderId="8" xfId="0" applyBorder="1" applyAlignment="1">
      <alignment wrapText="1"/>
    </xf>
    <xf numFmtId="0" fontId="0" fillId="6" borderId="2" xfId="0" applyFill="1" applyBorder="1" applyAlignment="1">
      <alignment wrapText="1"/>
    </xf>
    <xf numFmtId="169" fontId="0" fillId="0" borderId="4" xfId="1" applyNumberFormat="1" applyFont="1" applyBorder="1" applyAlignment="1">
      <alignment wrapText="1"/>
    </xf>
    <xf numFmtId="44" fontId="2" fillId="2" borderId="4" xfId="0" applyNumberFormat="1" applyFont="1" applyFill="1" applyBorder="1" applyAlignment="1">
      <alignment horizontal="right" wrapText="1"/>
    </xf>
    <xf numFmtId="169" fontId="0" fillId="0" borderId="4" xfId="1" applyNumberFormat="1" applyFont="1" applyFill="1" applyBorder="1" applyAlignment="1">
      <alignment wrapText="1"/>
    </xf>
    <xf numFmtId="44" fontId="2" fillId="0" borderId="0" xfId="0" applyNumberFormat="1" applyFont="1" applyAlignment="1">
      <alignment horizontal="right" wrapText="1"/>
    </xf>
    <xf numFmtId="43" fontId="0" fillId="0" borderId="0" xfId="0" applyNumberFormat="1" applyAlignment="1">
      <alignment wrapText="1"/>
    </xf>
    <xf numFmtId="0" fontId="2" fillId="0" borderId="4" xfId="0" applyFont="1" applyBorder="1" applyAlignment="1">
      <alignment vertical="top" wrapText="1"/>
    </xf>
    <xf numFmtId="169" fontId="0" fillId="10" borderId="4" xfId="1" applyNumberFormat="1" applyFont="1" applyFill="1" applyBorder="1" applyAlignment="1" applyProtection="1">
      <alignment wrapText="1"/>
      <protection locked="0"/>
    </xf>
    <xf numFmtId="0" fontId="0" fillId="10" borderId="4" xfId="0" applyFill="1" applyBorder="1" applyAlignment="1" applyProtection="1">
      <alignment wrapText="1"/>
      <protection locked="0"/>
    </xf>
    <xf numFmtId="0" fontId="10" fillId="0" borderId="0" xfId="0" applyFont="1" applyAlignment="1">
      <alignment horizontal="right" wrapText="1"/>
    </xf>
    <xf numFmtId="0" fontId="20" fillId="0" borderId="0" xfId="0" applyFont="1" applyAlignment="1">
      <alignment wrapText="1"/>
    </xf>
    <xf numFmtId="0" fontId="21" fillId="0" borderId="0" xfId="0" applyFont="1" applyAlignment="1">
      <alignment wrapText="1"/>
    </xf>
    <xf numFmtId="0" fontId="0" fillId="10" borderId="19" xfId="0" applyFill="1" applyBorder="1" applyAlignment="1" applyProtection="1">
      <alignment wrapText="1"/>
      <protection locked="0"/>
    </xf>
    <xf numFmtId="164" fontId="21" fillId="2" borderId="4" xfId="0" applyNumberFormat="1" applyFont="1" applyFill="1" applyBorder="1" applyAlignment="1">
      <alignment wrapText="1"/>
    </xf>
    <xf numFmtId="0" fontId="0" fillId="0" borderId="0" xfId="0" applyAlignment="1">
      <alignment horizontal="right"/>
    </xf>
    <xf numFmtId="0" fontId="0" fillId="0" borderId="1" xfId="0" applyBorder="1"/>
    <xf numFmtId="0" fontId="0" fillId="0" borderId="2" xfId="0" applyBorder="1"/>
    <xf numFmtId="0" fontId="0" fillId="0" borderId="5" xfId="0" applyBorder="1"/>
    <xf numFmtId="0" fontId="0" fillId="0" borderId="2" xfId="0" applyBorder="1" applyAlignment="1">
      <alignment horizontal="right"/>
    </xf>
    <xf numFmtId="0" fontId="2" fillId="0" borderId="6" xfId="0" applyFont="1" applyBorder="1"/>
    <xf numFmtId="0" fontId="0" fillId="0" borderId="4" xfId="0" applyBorder="1"/>
    <xf numFmtId="0" fontId="0" fillId="0" borderId="7" xfId="0" applyBorder="1"/>
    <xf numFmtId="44" fontId="0" fillId="9" borderId="4" xfId="2" applyFont="1" applyFill="1" applyBorder="1" applyAlignment="1" applyProtection="1">
      <alignment horizontal="right"/>
    </xf>
    <xf numFmtId="0" fontId="4" fillId="0" borderId="0" xfId="0" applyFont="1"/>
    <xf numFmtId="0" fontId="0" fillId="0" borderId="6" xfId="0" applyBorder="1"/>
    <xf numFmtId="9" fontId="0" fillId="3" borderId="4" xfId="2" applyNumberFormat="1" applyFont="1" applyFill="1" applyBorder="1" applyAlignment="1" applyProtection="1">
      <alignment horizontal="right"/>
    </xf>
    <xf numFmtId="44" fontId="0" fillId="0" borderId="0" xfId="0" applyNumberFormat="1"/>
    <xf numFmtId="44" fontId="0" fillId="0" borderId="4" xfId="2" applyFont="1" applyFill="1" applyBorder="1" applyAlignment="1" applyProtection="1">
      <alignment horizontal="right"/>
    </xf>
    <xf numFmtId="0" fontId="0" fillId="3" borderId="4" xfId="0" applyFill="1" applyBorder="1"/>
    <xf numFmtId="43" fontId="0" fillId="0" borderId="0" xfId="1" applyFont="1" applyFill="1" applyBorder="1" applyAlignment="1" applyProtection="1">
      <alignment horizontal="right"/>
    </xf>
    <xf numFmtId="169" fontId="0" fillId="0" borderId="4" xfId="1" applyNumberFormat="1" applyFont="1" applyBorder="1" applyAlignment="1" applyProtection="1">
      <alignment horizontal="right"/>
    </xf>
    <xf numFmtId="9" fontId="0" fillId="0" borderId="0" xfId="3" applyFont="1" applyFill="1" applyBorder="1" applyAlignment="1" applyProtection="1">
      <alignment horizontal="left"/>
    </xf>
    <xf numFmtId="0" fontId="2" fillId="0" borderId="0" xfId="0" applyFont="1"/>
    <xf numFmtId="167" fontId="0" fillId="9" borderId="4" xfId="2" applyNumberFormat="1" applyFont="1" applyFill="1" applyBorder="1" applyProtection="1"/>
    <xf numFmtId="43" fontId="0" fillId="3" borderId="4" xfId="1" applyFont="1" applyFill="1" applyBorder="1" applyProtection="1"/>
    <xf numFmtId="0" fontId="4" fillId="0" borderId="6" xfId="0" applyFont="1" applyBorder="1"/>
    <xf numFmtId="0" fontId="0" fillId="0" borderId="4" xfId="0" applyBorder="1" applyAlignment="1">
      <alignment horizontal="right"/>
    </xf>
    <xf numFmtId="9" fontId="0" fillId="0" borderId="4" xfId="3" applyFont="1" applyBorder="1" applyAlignment="1" applyProtection="1">
      <alignment horizontal="right"/>
    </xf>
    <xf numFmtId="166" fontId="0" fillId="3" borderId="4" xfId="3" applyNumberFormat="1" applyFont="1" applyFill="1" applyBorder="1" applyProtection="1"/>
    <xf numFmtId="43" fontId="0" fillId="0" borderId="4" xfId="1" applyFont="1" applyBorder="1" applyProtection="1"/>
    <xf numFmtId="43" fontId="0" fillId="0" borderId="4" xfId="0" applyNumberFormat="1" applyBorder="1"/>
    <xf numFmtId="43" fontId="0" fillId="0" borderId="0" xfId="0" applyNumberFormat="1"/>
    <xf numFmtId="0" fontId="0" fillId="0" borderId="3" xfId="0" applyBorder="1"/>
    <xf numFmtId="0" fontId="0" fillId="0" borderId="8" xfId="0" applyBorder="1"/>
    <xf numFmtId="0" fontId="0" fillId="0" borderId="8" xfId="0" applyBorder="1" applyAlignment="1">
      <alignment horizontal="right"/>
    </xf>
    <xf numFmtId="0" fontId="0" fillId="0" borderId="9" xfId="0" applyBorder="1"/>
    <xf numFmtId="43" fontId="0" fillId="0" borderId="8" xfId="0" applyNumberFormat="1" applyBorder="1"/>
    <xf numFmtId="43" fontId="0" fillId="0" borderId="2" xfId="0" applyNumberFormat="1" applyBorder="1"/>
    <xf numFmtId="43" fontId="0" fillId="3" borderId="0" xfId="1" applyFont="1" applyFill="1" applyBorder="1" applyProtection="1"/>
    <xf numFmtId="168" fontId="0" fillId="0" borderId="0" xfId="1" applyNumberFormat="1" applyFont="1" applyBorder="1" applyProtection="1"/>
    <xf numFmtId="168" fontId="0" fillId="0" borderId="4" xfId="1" applyNumberFormat="1" applyFont="1" applyBorder="1" applyProtection="1"/>
    <xf numFmtId="165" fontId="0" fillId="0" borderId="4" xfId="2" applyNumberFormat="1" applyFont="1" applyBorder="1" applyProtection="1"/>
    <xf numFmtId="169" fontId="0" fillId="0" borderId="7" xfId="1" applyNumberFormat="1" applyFont="1" applyBorder="1" applyProtection="1"/>
    <xf numFmtId="0" fontId="7" fillId="5" borderId="0" xfId="0" applyFont="1" applyFill="1"/>
    <xf numFmtId="168" fontId="7" fillId="5" borderId="0" xfId="0" applyNumberFormat="1" applyFont="1" applyFill="1"/>
    <xf numFmtId="0" fontId="0" fillId="8" borderId="0" xfId="0" applyFill="1"/>
    <xf numFmtId="168" fontId="0" fillId="0" borderId="0" xfId="0" applyNumberFormat="1"/>
    <xf numFmtId="0" fontId="0" fillId="4" borderId="0" xfId="0" applyFill="1"/>
    <xf numFmtId="43" fontId="0" fillId="4" borderId="0" xfId="1" applyFont="1" applyFill="1" applyBorder="1" applyProtection="1"/>
    <xf numFmtId="169" fontId="0" fillId="0" borderId="4" xfId="1" applyNumberFormat="1" applyFont="1" applyBorder="1" applyProtection="1"/>
    <xf numFmtId="0" fontId="7" fillId="5" borderId="4" xfId="0" applyFont="1" applyFill="1" applyBorder="1"/>
    <xf numFmtId="169" fontId="7" fillId="5" borderId="4" xfId="1" applyNumberFormat="1" applyFont="1" applyFill="1" applyBorder="1" applyProtection="1"/>
    <xf numFmtId="0" fontId="0" fillId="0" borderId="15" xfId="0" applyBorder="1"/>
    <xf numFmtId="0" fontId="0" fillId="0" borderId="17" xfId="0" applyBorder="1"/>
    <xf numFmtId="44" fontId="0" fillId="0" borderId="4" xfId="2" applyFont="1" applyFill="1" applyBorder="1" applyProtection="1"/>
    <xf numFmtId="0" fontId="2" fillId="0" borderId="10" xfId="0" applyFont="1" applyBorder="1"/>
    <xf numFmtId="0" fontId="2" fillId="0" borderId="11" xfId="0" applyFont="1" applyBorder="1"/>
    <xf numFmtId="44" fontId="0" fillId="0" borderId="4" xfId="0" applyNumberFormat="1" applyBorder="1"/>
    <xf numFmtId="0" fontId="0" fillId="9" borderId="4" xfId="0" applyFill="1" applyBorder="1"/>
    <xf numFmtId="0" fontId="0" fillId="0" borderId="10" xfId="0" applyBorder="1"/>
    <xf numFmtId="0" fontId="4" fillId="0" borderId="11" xfId="0" applyFont="1" applyBorder="1"/>
    <xf numFmtId="44" fontId="0" fillId="3" borderId="4" xfId="2" applyFont="1" applyFill="1" applyBorder="1" applyProtection="1"/>
    <xf numFmtId="0" fontId="0" fillId="0" borderId="12" xfId="0" applyBorder="1"/>
    <xf numFmtId="9" fontId="0" fillId="3" borderId="4" xfId="0" applyNumberFormat="1" applyFill="1" applyBorder="1"/>
    <xf numFmtId="167" fontId="0" fillId="3" borderId="4" xfId="0" applyNumberFormat="1" applyFill="1" applyBorder="1"/>
    <xf numFmtId="167" fontId="0" fillId="0" borderId="4" xfId="0" applyNumberFormat="1" applyBorder="1"/>
    <xf numFmtId="9" fontId="0" fillId="0" borderId="0" xfId="0" applyNumberFormat="1"/>
    <xf numFmtId="9" fontId="0" fillId="0" borderId="0" xfId="3" applyFont="1" applyBorder="1" applyProtection="1"/>
    <xf numFmtId="0" fontId="0" fillId="3" borderId="0" xfId="0" applyFill="1"/>
    <xf numFmtId="44" fontId="0" fillId="0" borderId="0" xfId="2" applyFont="1" applyBorder="1" applyProtection="1"/>
    <xf numFmtId="0" fontId="0" fillId="2" borderId="4" xfId="0" applyFill="1" applyBorder="1"/>
    <xf numFmtId="0" fontId="17" fillId="0" borderId="0" xfId="0" applyFont="1"/>
    <xf numFmtId="0" fontId="2" fillId="0" borderId="0" xfId="0" applyFont="1" applyAlignment="1">
      <alignment horizontal="right"/>
    </xf>
    <xf numFmtId="0" fontId="5" fillId="0" borderId="0" xfId="4" applyProtection="1"/>
    <xf numFmtId="0" fontId="2" fillId="0" borderId="0" xfId="0" applyFont="1" applyAlignment="1">
      <alignment horizontal="left"/>
    </xf>
    <xf numFmtId="9" fontId="0" fillId="3" borderId="4" xfId="3" applyFont="1" applyFill="1" applyBorder="1" applyAlignment="1" applyProtection="1">
      <alignment horizontal="right"/>
    </xf>
    <xf numFmtId="9" fontId="0" fillId="3" borderId="4" xfId="1" applyNumberFormat="1" applyFont="1" applyFill="1" applyBorder="1" applyAlignment="1" applyProtection="1">
      <alignment horizontal="right"/>
    </xf>
    <xf numFmtId="44" fontId="0" fillId="0" borderId="4" xfId="2" applyFont="1" applyBorder="1" applyProtection="1"/>
    <xf numFmtId="9" fontId="0" fillId="0" borderId="0" xfId="3" applyFont="1" applyBorder="1" applyAlignment="1" applyProtection="1">
      <alignment horizontal="right"/>
    </xf>
    <xf numFmtId="9" fontId="0" fillId="0" borderId="0" xfId="1" applyNumberFormat="1" applyFont="1" applyBorder="1" applyAlignment="1" applyProtection="1">
      <alignment horizontal="right"/>
    </xf>
    <xf numFmtId="44" fontId="6" fillId="5" borderId="0" xfId="2" applyFont="1" applyFill="1" applyBorder="1" applyProtection="1"/>
    <xf numFmtId="9" fontId="2" fillId="0" borderId="4" xfId="3" applyFont="1" applyBorder="1" applyAlignment="1" applyProtection="1">
      <alignment horizontal="right"/>
    </xf>
    <xf numFmtId="9" fontId="2" fillId="3" borderId="4" xfId="1" applyNumberFormat="1" applyFont="1" applyFill="1" applyBorder="1" applyAlignment="1" applyProtection="1">
      <alignment horizontal="right"/>
    </xf>
    <xf numFmtId="9" fontId="2" fillId="0" borderId="0" xfId="3" applyFont="1" applyBorder="1" applyAlignment="1" applyProtection="1">
      <alignment horizontal="right"/>
    </xf>
    <xf numFmtId="9" fontId="2" fillId="0" borderId="0" xfId="1" applyNumberFormat="1" applyFont="1" applyBorder="1" applyAlignment="1" applyProtection="1">
      <alignment horizontal="right"/>
    </xf>
    <xf numFmtId="0" fontId="0" fillId="0" borderId="16" xfId="0" applyBorder="1"/>
    <xf numFmtId="43" fontId="0" fillId="3" borderId="4" xfId="1" applyFont="1" applyFill="1" applyBorder="1" applyAlignment="1" applyProtection="1">
      <alignment horizontal="right" vertical="center"/>
    </xf>
    <xf numFmtId="43" fontId="0" fillId="9" borderId="4" xfId="1" applyFont="1" applyFill="1" applyBorder="1" applyAlignment="1" applyProtection="1">
      <alignment horizontal="right" vertical="center"/>
    </xf>
    <xf numFmtId="9" fontId="0" fillId="0" borderId="4" xfId="3" applyFont="1" applyBorder="1" applyProtection="1"/>
    <xf numFmtId="0" fontId="0" fillId="0" borderId="11" xfId="0" applyBorder="1"/>
    <xf numFmtId="0" fontId="2" fillId="0" borderId="4" xfId="0" applyFont="1" applyBorder="1" applyAlignment="1">
      <alignment horizontal="left"/>
    </xf>
    <xf numFmtId="0" fontId="5" fillId="0" borderId="0" xfId="4" applyFill="1" applyBorder="1" applyProtection="1"/>
    <xf numFmtId="165" fontId="0" fillId="0" borderId="0" xfId="2" applyNumberFormat="1" applyFont="1" applyFill="1" applyBorder="1" applyProtection="1"/>
    <xf numFmtId="167" fontId="0" fillId="0" borderId="0" xfId="2" applyNumberFormat="1" applyFont="1" applyFill="1" applyBorder="1" applyProtection="1"/>
    <xf numFmtId="44" fontId="0" fillId="0" borderId="13" xfId="2" applyFont="1" applyFill="1" applyBorder="1" applyProtection="1"/>
    <xf numFmtId="0" fontId="0" fillId="0" borderId="13" xfId="0" applyBorder="1"/>
    <xf numFmtId="0" fontId="0" fillId="0" borderId="14" xfId="0" applyBorder="1"/>
    <xf numFmtId="0" fontId="0" fillId="11" borderId="18" xfId="0" applyFill="1" applyBorder="1" applyAlignment="1" applyProtection="1">
      <alignment wrapText="1"/>
      <protection locked="0"/>
    </xf>
    <xf numFmtId="0" fontId="22" fillId="0" borderId="0" xfId="0" applyFont="1"/>
    <xf numFmtId="0" fontId="11" fillId="6" borderId="1" xfId="0" applyFont="1" applyFill="1" applyBorder="1" applyAlignment="1">
      <alignment wrapText="1"/>
    </xf>
    <xf numFmtId="0" fontId="10" fillId="0" borderId="6" xfId="0" applyFont="1" applyBorder="1" applyAlignment="1">
      <alignment horizontal="right" wrapText="1"/>
    </xf>
    <xf numFmtId="44" fontId="0" fillId="0" borderId="0" xfId="2" applyFont="1" applyBorder="1" applyAlignment="1">
      <alignment wrapText="1"/>
    </xf>
    <xf numFmtId="44" fontId="0" fillId="0" borderId="0" xfId="0" applyNumberFormat="1" applyAlignment="1">
      <alignment wrapText="1"/>
    </xf>
    <xf numFmtId="0" fontId="0" fillId="0" borderId="6" xfId="0" applyBorder="1" applyAlignment="1">
      <alignment wrapText="1"/>
    </xf>
    <xf numFmtId="0" fontId="8" fillId="6" borderId="2" xfId="0" applyFont="1" applyFill="1" applyBorder="1" applyAlignment="1">
      <alignment wrapText="1"/>
    </xf>
    <xf numFmtId="43" fontId="10" fillId="0" borderId="4" xfId="0" applyNumberFormat="1" applyFont="1" applyBorder="1" applyAlignment="1">
      <alignment wrapText="1"/>
    </xf>
    <xf numFmtId="165" fontId="0" fillId="0" borderId="4" xfId="2" applyNumberFormat="1" applyFont="1" applyFill="1" applyBorder="1" applyProtection="1"/>
    <xf numFmtId="167" fontId="0" fillId="0" borderId="4" xfId="2" applyNumberFormat="1" applyFont="1" applyFill="1" applyBorder="1" applyProtection="1"/>
    <xf numFmtId="171" fontId="0" fillId="10" borderId="4" xfId="0" applyNumberFormat="1" applyFill="1" applyBorder="1" applyAlignment="1" applyProtection="1">
      <alignment wrapText="1"/>
      <protection locked="0"/>
    </xf>
    <xf numFmtId="171" fontId="0" fillId="0" borderId="4" xfId="0" applyNumberFormat="1" applyBorder="1" applyAlignment="1">
      <alignment wrapText="1"/>
    </xf>
    <xf numFmtId="165" fontId="0" fillId="0" borderId="19" xfId="0" applyNumberFormat="1" applyBorder="1"/>
    <xf numFmtId="169" fontId="0" fillId="0" borderId="4" xfId="1" applyNumberFormat="1" applyFont="1" applyFill="1" applyBorder="1"/>
    <xf numFmtId="0" fontId="0" fillId="12" borderId="4" xfId="0" applyFill="1" applyBorder="1"/>
    <xf numFmtId="43" fontId="0" fillId="5" borderId="4" xfId="1" applyFont="1" applyFill="1" applyBorder="1" applyProtection="1"/>
    <xf numFmtId="0" fontId="0" fillId="9" borderId="0" xfId="0" applyFill="1" applyAlignment="1">
      <alignment horizontal="right"/>
    </xf>
    <xf numFmtId="167" fontId="2" fillId="10" borderId="4" xfId="2" applyNumberFormat="1" applyFont="1" applyFill="1" applyBorder="1" applyAlignment="1" applyProtection="1">
      <alignment wrapText="1"/>
      <protection locked="0"/>
    </xf>
    <xf numFmtId="169" fontId="2" fillId="0" borderId="0" xfId="1" applyNumberFormat="1" applyFont="1" applyFill="1" applyBorder="1" applyAlignment="1" applyProtection="1">
      <alignment wrapText="1"/>
      <protection locked="0"/>
    </xf>
    <xf numFmtId="0" fontId="12" fillId="0" borderId="0" xfId="0" applyFont="1" applyAlignment="1">
      <alignment wrapText="1"/>
    </xf>
    <xf numFmtId="0" fontId="2" fillId="0" borderId="0" xfId="0" applyFont="1" applyAlignment="1" applyProtection="1">
      <alignment wrapText="1"/>
      <protection locked="0"/>
    </xf>
    <xf numFmtId="167" fontId="0" fillId="3" borderId="4" xfId="2" applyNumberFormat="1" applyFont="1" applyFill="1" applyBorder="1" applyProtection="1"/>
    <xf numFmtId="167" fontId="10" fillId="0" borderId="0" xfId="0" applyNumberFormat="1" applyFont="1" applyAlignment="1">
      <alignment wrapText="1"/>
    </xf>
    <xf numFmtId="0" fontId="7" fillId="5" borderId="16" xfId="0" applyFont="1" applyFill="1" applyBorder="1"/>
    <xf numFmtId="43" fontId="0" fillId="3" borderId="0" xfId="1" applyFont="1" applyFill="1" applyAlignment="1" applyProtection="1">
      <alignment horizontal="right"/>
    </xf>
    <xf numFmtId="43" fontId="0" fillId="0" borderId="0" xfId="1" applyFont="1"/>
    <xf numFmtId="0" fontId="7" fillId="0" borderId="0" xfId="0" applyFont="1"/>
    <xf numFmtId="168" fontId="7" fillId="0" borderId="0" xfId="0" applyNumberFormat="1" applyFont="1"/>
    <xf numFmtId="0" fontId="0" fillId="0" borderId="0" xfId="0" applyAlignment="1">
      <alignment horizontal="left"/>
    </xf>
    <xf numFmtId="9" fontId="0" fillId="0" borderId="0" xfId="0" applyNumberFormat="1" applyAlignment="1">
      <alignment horizontal="right"/>
    </xf>
    <xf numFmtId="44" fontId="6" fillId="0" borderId="0" xfId="2" applyFont="1" applyFill="1" applyBorder="1" applyProtection="1"/>
    <xf numFmtId="0" fontId="0" fillId="0" borderId="13" xfId="0" applyBorder="1" applyAlignment="1">
      <alignment wrapText="1"/>
    </xf>
    <xf numFmtId="165" fontId="0" fillId="0" borderId="0" xfId="2" applyNumberFormat="1" applyFont="1" applyProtection="1"/>
    <xf numFmtId="165" fontId="0" fillId="0" borderId="0" xfId="0" applyNumberFormat="1"/>
    <xf numFmtId="169" fontId="0" fillId="0" borderId="0" xfId="1" applyNumberFormat="1" applyFont="1"/>
    <xf numFmtId="43" fontId="0" fillId="0" borderId="0" xfId="1" applyFont="1" applyProtection="1"/>
    <xf numFmtId="167" fontId="1" fillId="12" borderId="4" xfId="2" applyNumberFormat="1" applyFont="1" applyFill="1" applyBorder="1" applyAlignment="1" applyProtection="1">
      <alignment wrapText="1"/>
      <protection locked="0"/>
    </xf>
    <xf numFmtId="0" fontId="0" fillId="3" borderId="4" xfId="0" applyFill="1" applyBorder="1" applyAlignment="1">
      <alignment horizontal="right"/>
    </xf>
    <xf numFmtId="44" fontId="0" fillId="0" borderId="0" xfId="2" applyFont="1" applyFill="1" applyBorder="1" applyProtection="1"/>
    <xf numFmtId="17" fontId="2" fillId="0" borderId="4" xfId="0" applyNumberFormat="1" applyFont="1" applyBorder="1" applyAlignment="1">
      <alignment horizontal="right"/>
    </xf>
    <xf numFmtId="17" fontId="2" fillId="9" borderId="4" xfId="0" applyNumberFormat="1" applyFont="1" applyFill="1" applyBorder="1"/>
    <xf numFmtId="0" fontId="2" fillId="0" borderId="4" xfId="0" applyFont="1" applyBorder="1"/>
    <xf numFmtId="9" fontId="2" fillId="0" borderId="16" xfId="3" applyFont="1" applyBorder="1" applyAlignment="1" applyProtection="1">
      <alignment horizontal="right"/>
    </xf>
    <xf numFmtId="9" fontId="2" fillId="0" borderId="16" xfId="1" applyNumberFormat="1" applyFont="1" applyBorder="1" applyAlignment="1" applyProtection="1">
      <alignment horizontal="right"/>
    </xf>
    <xf numFmtId="44" fontId="0" fillId="0" borderId="16" xfId="2" applyFont="1" applyBorder="1" applyProtection="1"/>
    <xf numFmtId="0" fontId="6" fillId="5" borderId="4" xfId="0" applyFont="1" applyFill="1" applyBorder="1" applyAlignment="1">
      <alignment wrapText="1"/>
    </xf>
    <xf numFmtId="168" fontId="7" fillId="0" borderId="0" xfId="0" applyNumberFormat="1" applyFont="1" applyAlignment="1">
      <alignment wrapText="1"/>
    </xf>
    <xf numFmtId="0" fontId="10" fillId="0" borderId="0" xfId="0" applyFont="1" applyAlignment="1">
      <alignment vertical="top" wrapText="1"/>
    </xf>
    <xf numFmtId="43" fontId="10" fillId="0" borderId="0" xfId="0" applyNumberFormat="1" applyFont="1" applyAlignment="1">
      <alignment wrapText="1"/>
    </xf>
    <xf numFmtId="164" fontId="10" fillId="0" borderId="0" xfId="0" applyNumberFormat="1" applyFont="1" applyAlignment="1">
      <alignment horizontal="center" vertical="top" wrapText="1"/>
    </xf>
    <xf numFmtId="44" fontId="0" fillId="7" borderId="4" xfId="0" applyNumberFormat="1" applyFill="1" applyBorder="1" applyAlignment="1">
      <alignment wrapText="1"/>
    </xf>
    <xf numFmtId="44" fontId="2" fillId="0" borderId="4" xfId="0" applyNumberFormat="1" applyFont="1" applyBorder="1"/>
    <xf numFmtId="0" fontId="0" fillId="0" borderId="4" xfId="1" applyNumberFormat="1" applyFont="1" applyBorder="1"/>
    <xf numFmtId="43" fontId="7" fillId="5" borderId="16" xfId="0" applyNumberFormat="1" applyFont="1" applyFill="1" applyBorder="1"/>
    <xf numFmtId="44" fontId="6" fillId="5" borderId="0" xfId="2" applyFont="1" applyFill="1"/>
    <xf numFmtId="0" fontId="2" fillId="0" borderId="0" xfId="0" applyFont="1" applyAlignment="1">
      <alignment horizontal="left" wrapText="1"/>
    </xf>
    <xf numFmtId="0" fontId="6" fillId="0" borderId="0" xfId="0" applyFont="1" applyAlignment="1">
      <alignment wrapText="1"/>
    </xf>
    <xf numFmtId="43" fontId="2" fillId="0" borderId="0" xfId="0" applyNumberFormat="1" applyFont="1"/>
    <xf numFmtId="44" fontId="0" fillId="0" borderId="22" xfId="2" applyFont="1" applyBorder="1" applyProtection="1"/>
    <xf numFmtId="44" fontId="2" fillId="0" borderId="4" xfId="2" applyFont="1" applyBorder="1" applyProtection="1"/>
    <xf numFmtId="0" fontId="10" fillId="0" borderId="4" xfId="0" applyFont="1" applyBorder="1" applyAlignment="1">
      <alignment vertical="top" wrapText="1"/>
    </xf>
    <xf numFmtId="0" fontId="0" fillId="0" borderId="4" xfId="0" applyBorder="1"/>
    <xf numFmtId="0" fontId="15" fillId="0" borderId="4" xfId="0" applyFont="1" applyBorder="1" applyAlignment="1">
      <alignment wrapText="1"/>
    </xf>
    <xf numFmtId="0" fontId="13" fillId="0" borderId="4" xfId="0" applyFont="1" applyBorder="1" applyAlignment="1">
      <alignment wrapText="1"/>
    </xf>
    <xf numFmtId="0" fontId="0" fillId="0" borderId="4" xfId="0" applyBorder="1" applyAlignment="1">
      <alignment wrapText="1"/>
    </xf>
    <xf numFmtId="0" fontId="5" fillId="0" borderId="4" xfId="4" applyBorder="1" applyAlignment="1">
      <alignment wrapText="1"/>
    </xf>
    <xf numFmtId="0" fontId="10" fillId="0" borderId="4" xfId="0" applyFont="1" applyBorder="1" applyAlignment="1">
      <alignment wrapText="1"/>
    </xf>
    <xf numFmtId="0" fontId="10" fillId="0" borderId="4" xfId="0" applyFont="1" applyBorder="1" applyAlignment="1">
      <alignment horizontal="left" vertical="top" wrapText="1"/>
    </xf>
    <xf numFmtId="0" fontId="10" fillId="0" borderId="4" xfId="0" applyFont="1" applyBorder="1"/>
    <xf numFmtId="0" fontId="8" fillId="0" borderId="0" xfId="0" applyFont="1" applyAlignment="1">
      <alignment horizontal="right" wrapText="1"/>
    </xf>
    <xf numFmtId="0" fontId="0" fillId="0" borderId="11" xfId="0" applyBorder="1" applyAlignment="1">
      <alignment horizontal="right" wrapText="1"/>
    </xf>
    <xf numFmtId="0" fontId="2" fillId="0" borderId="10" xfId="0" applyFont="1" applyBorder="1" applyAlignment="1">
      <alignment wrapText="1"/>
    </xf>
    <xf numFmtId="0" fontId="0" fillId="0" borderId="0" xfId="0" applyAlignment="1">
      <alignment wrapText="1"/>
    </xf>
    <xf numFmtId="0" fontId="8" fillId="0" borderId="10" xfId="0" applyFont="1" applyBorder="1" applyAlignment="1">
      <alignment wrapText="1"/>
    </xf>
    <xf numFmtId="0" fontId="9" fillId="0" borderId="0" xfId="0" applyFont="1" applyAlignment="1">
      <alignment wrapText="1"/>
    </xf>
    <xf numFmtId="0" fontId="0" fillId="0" borderId="6" xfId="0" applyBorder="1" applyAlignment="1">
      <alignment horizontal="right" wrapText="1"/>
    </xf>
    <xf numFmtId="0" fontId="11" fillId="0" borderId="4" xfId="0" applyFont="1" applyBorder="1" applyAlignment="1">
      <alignment horizontal="left" vertical="top" wrapText="1"/>
    </xf>
    <xf numFmtId="0" fontId="11" fillId="0" borderId="4" xfId="0" applyFont="1" applyBorder="1" applyAlignment="1">
      <alignment vertical="top" wrapText="1"/>
    </xf>
    <xf numFmtId="0" fontId="2" fillId="0" borderId="6" xfId="0" applyFont="1" applyBorder="1" applyAlignment="1">
      <alignment horizontal="right" vertical="top" wrapText="1"/>
    </xf>
    <xf numFmtId="0" fontId="2" fillId="0" borderId="0" xfId="0" applyFont="1" applyAlignment="1">
      <alignment horizontal="right" vertical="top" wrapText="1"/>
    </xf>
    <xf numFmtId="0" fontId="2" fillId="0" borderId="6" xfId="0" applyFont="1" applyBorder="1" applyAlignment="1">
      <alignment vertical="top" wrapText="1"/>
    </xf>
    <xf numFmtId="0" fontId="2" fillId="0" borderId="0" xfId="0" applyFont="1" applyAlignment="1">
      <alignment vertical="top" wrapText="1"/>
    </xf>
    <xf numFmtId="0" fontId="0" fillId="0" borderId="0" xfId="0" applyAlignment="1">
      <alignment horizontal="right" wrapText="1"/>
    </xf>
    <xf numFmtId="0" fontId="10" fillId="0" borderId="6" xfId="0" applyFont="1" applyBorder="1" applyAlignment="1">
      <alignment horizontal="right" wrapText="1"/>
    </xf>
    <xf numFmtId="0" fontId="10" fillId="0" borderId="0" xfId="0" applyFont="1" applyAlignment="1">
      <alignment wrapText="1"/>
    </xf>
    <xf numFmtId="0" fontId="10" fillId="0" borderId="6" xfId="0" applyFont="1" applyBorder="1" applyAlignment="1">
      <alignment horizontal="right" vertical="top" wrapText="1"/>
    </xf>
    <xf numFmtId="0" fontId="10" fillId="0" borderId="0" xfId="0" applyFont="1" applyAlignment="1">
      <alignment horizontal="right" vertical="top" wrapText="1"/>
    </xf>
    <xf numFmtId="0" fontId="8" fillId="6" borderId="2" xfId="0" applyFont="1" applyFill="1" applyBorder="1" applyAlignment="1">
      <alignment wrapText="1"/>
    </xf>
    <xf numFmtId="0" fontId="0" fillId="0" borderId="2" xfId="0" applyBorder="1" applyAlignment="1">
      <alignment wrapText="1"/>
    </xf>
    <xf numFmtId="0" fontId="9" fillId="0" borderId="2" xfId="0" applyFont="1" applyBorder="1" applyAlignment="1">
      <alignment wrapText="1"/>
    </xf>
    <xf numFmtId="0" fontId="9" fillId="6" borderId="2" xfId="0" applyFont="1" applyFill="1" applyBorder="1" applyAlignment="1">
      <alignment wrapText="1"/>
    </xf>
    <xf numFmtId="0" fontId="2" fillId="11" borderId="20" xfId="0" applyFont="1" applyFill="1" applyBorder="1" applyAlignment="1" applyProtection="1">
      <alignment wrapText="1"/>
      <protection locked="0"/>
    </xf>
    <xf numFmtId="0" fontId="2" fillId="11" borderId="21" xfId="0" applyFont="1" applyFill="1" applyBorder="1" applyAlignment="1" applyProtection="1">
      <alignment wrapText="1"/>
      <protection locked="0"/>
    </xf>
    <xf numFmtId="0" fontId="21" fillId="0" borderId="0" xfId="0" applyFont="1" applyAlignment="1">
      <alignment vertical="top" wrapText="1"/>
    </xf>
    <xf numFmtId="0" fontId="10" fillId="0" borderId="10" xfId="0" applyFont="1" applyBorder="1" applyAlignment="1">
      <alignment wrapText="1"/>
    </xf>
    <xf numFmtId="0" fontId="10" fillId="0" borderId="6" xfId="0" applyFont="1" applyBorder="1" applyAlignment="1">
      <alignment wrapText="1"/>
    </xf>
    <xf numFmtId="0" fontId="11" fillId="0" borderId="0" xfId="0" applyFont="1" applyAlignment="1">
      <alignment wrapText="1"/>
    </xf>
    <xf numFmtId="0" fontId="2" fillId="0" borderId="6" xfId="0" applyFont="1" applyBorder="1" applyAlignment="1">
      <alignment horizontal="right" wrapText="1"/>
    </xf>
    <xf numFmtId="0" fontId="2" fillId="0" borderId="11" xfId="0" applyFont="1" applyBorder="1" applyAlignment="1">
      <alignment horizontal="right" wrapText="1"/>
    </xf>
    <xf numFmtId="0" fontId="10" fillId="0" borderId="0" xfId="0" applyFont="1" applyAlignment="1">
      <alignment horizontal="left" wrapText="1"/>
    </xf>
    <xf numFmtId="0" fontId="0" fillId="10" borderId="4" xfId="0" applyFill="1" applyBorder="1" applyAlignment="1" applyProtection="1">
      <alignment vertical="top" wrapText="1"/>
      <protection locked="0"/>
    </xf>
    <xf numFmtId="0" fontId="0" fillId="10" borderId="4" xfId="0" applyFill="1" applyBorder="1" applyAlignment="1" applyProtection="1">
      <alignment wrapText="1"/>
      <protection locked="0"/>
    </xf>
    <xf numFmtId="0" fontId="0" fillId="0" borderId="11" xfId="0" applyBorder="1" applyAlignment="1">
      <alignment wrapText="1"/>
    </xf>
    <xf numFmtId="0" fontId="0" fillId="0" borderId="10" xfId="0" applyBorder="1" applyAlignment="1">
      <alignment wrapText="1"/>
    </xf>
    <xf numFmtId="0" fontId="12" fillId="0" borderId="10" xfId="0" applyFont="1" applyBorder="1" applyAlignment="1">
      <alignment wrapText="1"/>
    </xf>
    <xf numFmtId="0" fontId="2" fillId="0" borderId="6" xfId="0" applyFont="1" applyBorder="1" applyAlignment="1">
      <alignment horizontal="left" wrapText="1"/>
    </xf>
    <xf numFmtId="0" fontId="0" fillId="0" borderId="6" xfId="0" applyBorder="1" applyAlignment="1">
      <alignment wrapText="1"/>
    </xf>
    <xf numFmtId="0" fontId="0" fillId="0" borderId="4" xfId="0" applyBorder="1" applyAlignment="1">
      <alignment vertical="top" wrapText="1"/>
    </xf>
  </cellXfs>
  <cellStyles count="6">
    <cellStyle name="Comma" xfId="1" builtinId="3"/>
    <cellStyle name="Currency" xfId="2" builtinId="4"/>
    <cellStyle name="Hyperlink" xfId="4" builtinId="8"/>
    <cellStyle name="Normal" xfId="0" builtinId="0"/>
    <cellStyle name="Normal 2" xfId="5" xr:uid="{BEFAADAA-21AD-47E4-AAAA-54C66AC78878}"/>
    <cellStyle name="Per cent" xfId="3" builtinId="5"/>
  </cellStyles>
  <dxfs count="21">
    <dxf>
      <font>
        <b val="0"/>
        <i val="0"/>
        <strike val="0"/>
        <condense val="0"/>
        <extend val="0"/>
        <outline val="0"/>
        <shadow val="0"/>
        <u val="none"/>
        <vertAlign val="baseline"/>
        <sz val="11"/>
        <color theme="0"/>
        <name val="Aptos Narrow"/>
        <family val="2"/>
        <scheme val="minor"/>
      </font>
      <numFmt numFmtId="35" formatCode="_-* #,##0.00_-;\-* #,##0.00_-;_-* &quot;-&quot;??_-;_-@_-"/>
      <fill>
        <patternFill patternType="solid">
          <fgColor indexed="64"/>
          <bgColor theme="1"/>
        </patternFill>
      </fill>
      <border diagonalUp="0" diagonalDown="0" outline="0">
        <left/>
        <right/>
        <top style="thin">
          <color indexed="64"/>
        </top>
        <bottom/>
      </border>
    </dxf>
    <dxf>
      <numFmt numFmtId="165" formatCode="_-&quot;£&quot;* #,##0_-;\-&quot;£&quot;* #,##0_-;_-&quot;£&quot;* &quot;-&quot;??_-;_-@_-"/>
      <protection locked="1" hidden="0"/>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border diagonalUp="0" diagonalDown="0" outline="0">
        <left/>
        <right/>
        <top style="thin">
          <color indexed="64"/>
        </top>
        <bottom/>
      </border>
    </dxf>
    <dxf>
      <numFmt numFmtId="0" formatCode="General"/>
      <protection locked="1" hidden="0"/>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border diagonalUp="0" diagonalDown="0" outline="0">
        <left/>
        <right/>
        <top style="thin">
          <color indexed="64"/>
        </top>
        <bottom/>
      </border>
    </dxf>
    <dxf>
      <fill>
        <patternFill patternType="solid">
          <fgColor indexed="64"/>
          <bgColor theme="5" tint="0.39997558519241921"/>
        </patternFill>
      </fill>
      <protection locked="1" hidden="0"/>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border diagonalUp="0" diagonalDown="0" outline="0">
        <left/>
        <right/>
        <top style="thin">
          <color indexed="64"/>
        </top>
        <bottom/>
      </border>
    </dxf>
    <dxf>
      <protection locked="1" hidden="0"/>
    </dxf>
    <dxf>
      <font>
        <b val="0"/>
        <i val="0"/>
        <strike val="0"/>
        <condense val="0"/>
        <extend val="0"/>
        <outline val="0"/>
        <shadow val="0"/>
        <u val="none"/>
        <vertAlign val="baseline"/>
        <sz val="11"/>
        <color theme="0"/>
        <name val="Aptos Narrow"/>
        <family val="2"/>
        <scheme val="minor"/>
      </font>
      <numFmt numFmtId="168" formatCode="_-* #,##0.0_-;\-* #,##0.0_-;_-* &quot;-&quot;??_-;_-@_-"/>
      <fill>
        <patternFill patternType="solid">
          <fgColor indexed="64"/>
          <bgColor theme="1"/>
        </patternFill>
      </fill>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dxf>
    <dxf>
      <numFmt numFmtId="0" formatCode="General"/>
      <protection locked="1" hidden="0"/>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dxf>
    <dxf>
      <fill>
        <patternFill>
          <fgColor indexed="64"/>
          <bgColor theme="5" tint="0.39997558519241921"/>
        </patternFill>
      </fill>
      <protection locked="1" hidden="0"/>
    </dxf>
    <dxf>
      <font>
        <b val="0"/>
        <i val="0"/>
        <strike val="0"/>
        <condense val="0"/>
        <extend val="0"/>
        <outline val="0"/>
        <shadow val="0"/>
        <u val="none"/>
        <vertAlign val="baseline"/>
        <sz val="11"/>
        <color theme="0"/>
        <name val="Aptos Narrow"/>
        <family val="2"/>
        <scheme val="minor"/>
      </font>
      <fill>
        <patternFill patternType="solid">
          <fgColor indexed="64"/>
          <bgColor theme="1"/>
        </patternFill>
      </fill>
    </dxf>
    <dxf>
      <protection locked="1" hidden="0"/>
    </dxf>
    <dxf>
      <border outline="0">
        <top style="thin">
          <color indexed="64"/>
        </top>
      </border>
    </dxf>
    <dxf>
      <font>
        <strike val="0"/>
        <outline val="0"/>
        <shadow val="0"/>
        <u val="none"/>
        <vertAlign val="baseline"/>
        <sz val="11"/>
        <color theme="0"/>
        <name val="Aptos Narrow"/>
        <family val="2"/>
        <scheme val="minor"/>
      </font>
      <fill>
        <patternFill>
          <fgColor indexed="64"/>
          <bgColor theme="1"/>
        </patternFill>
      </fill>
      <protection locked="1" hidden="0"/>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alignment horizontal="general"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puts and Outputs'!A1"/><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595312</xdr:colOff>
      <xdr:row>1</xdr:row>
      <xdr:rowOff>0</xdr:rowOff>
    </xdr:from>
    <xdr:to>
      <xdr:col>38</xdr:col>
      <xdr:colOff>315277</xdr:colOff>
      <xdr:row>73</xdr:row>
      <xdr:rowOff>122872</xdr:rowOff>
    </xdr:to>
    <xdr:pic>
      <xdr:nvPicPr>
        <xdr:cNvPr id="14" name="Picture 13">
          <a:extLst>
            <a:ext uri="{FF2B5EF4-FFF2-40B4-BE49-F238E27FC236}">
              <a16:creationId xmlns:a16="http://schemas.microsoft.com/office/drawing/2014/main" id="{DEE970AD-C398-2159-5685-05CFCE492F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7" t="1016" r="14500" b="24748"/>
        <a:stretch>
          <a:fillRect/>
        </a:stretch>
      </xdr:blipFill>
      <xdr:spPr>
        <a:xfrm>
          <a:off x="595312" y="190500"/>
          <a:ext cx="23246715" cy="13910310"/>
        </a:xfrm>
        <a:prstGeom prst="rect">
          <a:avLst/>
        </a:prstGeom>
      </xdr:spPr>
    </xdr:pic>
    <xdr:clientData/>
  </xdr:twoCellAnchor>
  <xdr:twoCellAnchor>
    <xdr:from>
      <xdr:col>2</xdr:col>
      <xdr:colOff>360218</xdr:colOff>
      <xdr:row>2</xdr:row>
      <xdr:rowOff>27213</xdr:rowOff>
    </xdr:from>
    <xdr:to>
      <xdr:col>36</xdr:col>
      <xdr:colOff>507797</xdr:colOff>
      <xdr:row>72</xdr:row>
      <xdr:rowOff>110835</xdr:rowOff>
    </xdr:to>
    <xdr:sp macro="" textlink="">
      <xdr:nvSpPr>
        <xdr:cNvPr id="15" name="Rectangle: Rounded Corners 14">
          <a:extLst>
            <a:ext uri="{FF2B5EF4-FFF2-40B4-BE49-F238E27FC236}">
              <a16:creationId xmlns:a16="http://schemas.microsoft.com/office/drawing/2014/main" id="{86844509-0534-C7C9-262A-C37CD2910044}"/>
            </a:ext>
          </a:extLst>
        </xdr:cNvPr>
        <xdr:cNvSpPr/>
      </xdr:nvSpPr>
      <xdr:spPr>
        <a:xfrm>
          <a:off x="1579418" y="470558"/>
          <a:ext cx="20873979" cy="12691259"/>
        </a:xfrm>
        <a:prstGeom prst="roundRect">
          <a:avLst/>
        </a:prstGeom>
        <a:solidFill>
          <a:srgbClr val="0070C0">
            <a:alpha val="90000"/>
          </a:srgbClr>
        </a:solidFill>
        <a:ln w="381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411542" tIns="205773" rIns="411542" bIns="205773"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GB" sz="8099"/>
        </a:p>
      </xdr:txBody>
    </xdr:sp>
    <xdr:clientData/>
  </xdr:twoCellAnchor>
  <xdr:oneCellAnchor>
    <xdr:from>
      <xdr:col>3</xdr:col>
      <xdr:colOff>580439</xdr:colOff>
      <xdr:row>4</xdr:row>
      <xdr:rowOff>186127</xdr:rowOff>
    </xdr:from>
    <xdr:ext cx="20104160" cy="11220060"/>
    <xdr:sp macro="" textlink="">
      <xdr:nvSpPr>
        <xdr:cNvPr id="16" name="TextBox 7">
          <a:extLst>
            <a:ext uri="{FF2B5EF4-FFF2-40B4-BE49-F238E27FC236}">
              <a16:creationId xmlns:a16="http://schemas.microsoft.com/office/drawing/2014/main" id="{BBA2CA3D-BC89-08E2-D268-84F8C2351DC3}"/>
            </a:ext>
          </a:extLst>
        </xdr:cNvPr>
        <xdr:cNvSpPr txBox="1"/>
      </xdr:nvSpPr>
      <xdr:spPr>
        <a:xfrm>
          <a:off x="2437814" y="1019565"/>
          <a:ext cx="20104160" cy="1122006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fontAlgn="t"/>
          <a:r>
            <a:rPr lang="en-GB" sz="2800" b="1"/>
            <a:t>                     Nottingham City Council:  Section 106 Estimator</a:t>
          </a:r>
        </a:p>
        <a:p>
          <a:pPr fontAlgn="t"/>
          <a:endParaRPr lang="en-GB" sz="2000" b="1"/>
        </a:p>
        <a:p>
          <a:pPr lvl="3" fontAlgn="t"/>
          <a:r>
            <a:rPr lang="en-GB" sz="1800" b="1"/>
            <a:t>Purpose</a:t>
          </a:r>
        </a:p>
        <a:p>
          <a:pPr lvl="3" fontAlgn="t"/>
          <a:r>
            <a:rPr lang="en-GB" sz="1800"/>
            <a:t>This Section 106 (S106) Estimator provides an </a:t>
          </a:r>
          <a:r>
            <a:rPr lang="en-GB" sz="1800" b="1"/>
            <a:t>early, indicative estimate</a:t>
          </a:r>
          <a:r>
            <a:rPr lang="en-GB" sz="1800"/>
            <a:t> of the developer contributions that Nottingham City Council is likely to seek as part of a planning application. It is intended to support </a:t>
          </a:r>
          <a:r>
            <a:rPr lang="en-GB" sz="1800" b="1"/>
            <a:t>early feasibility work, pre‑application discussions, and initial viability appraisals</a:t>
          </a:r>
          <a:r>
            <a:rPr lang="en-GB" sz="1800"/>
            <a:t> by helping users understand the likely scale of S106 obligations. The outputs are </a:t>
          </a:r>
          <a:r>
            <a:rPr lang="en-GB" sz="1800" b="1"/>
            <a:t>indicative only</a:t>
          </a:r>
          <a:r>
            <a:rPr lang="en-GB" sz="1800"/>
            <a:t> and do not constitute a formal assessment or agreement. All planning obligations are ultimately determined through the planning application process.</a:t>
          </a:r>
        </a:p>
        <a:p>
          <a:pPr fontAlgn="t"/>
          <a:br>
            <a:rPr lang="en-GB" sz="1800"/>
          </a:br>
          <a:r>
            <a:rPr lang="en-GB" sz="1800" b="1">
              <a:solidFill>
                <a:schemeClr val="accent4">
                  <a:lumMod val="20000"/>
                  <a:lumOff val="80000"/>
                </a:schemeClr>
              </a:solidFill>
            </a:rPr>
            <a:t>How to Complete the Estimator – Core Steps</a:t>
          </a:r>
        </a:p>
        <a:p>
          <a:pPr fontAlgn="t"/>
          <a:r>
            <a:rPr lang="en-GB" sz="1800"/>
            <a:t>Where a cell is shown in </a:t>
          </a:r>
          <a:r>
            <a:rPr lang="en-GB" sz="1800" b="1">
              <a:solidFill>
                <a:schemeClr val="accent2">
                  <a:lumMod val="20000"/>
                  <a:lumOff val="80000"/>
                </a:schemeClr>
              </a:solidFill>
            </a:rPr>
            <a:t>light orange</a:t>
          </a:r>
          <a:r>
            <a:rPr lang="en-GB" sz="1800"/>
            <a:t>, this indicates a cell which can have information inputted into it. Numerical cells are locked for numerical data only. </a:t>
          </a:r>
          <a:r>
            <a:rPr lang="en-GB" sz="1800" b="1">
              <a:solidFill>
                <a:schemeClr val="accent4">
                  <a:lumMod val="40000"/>
                  <a:lumOff val="60000"/>
                </a:schemeClr>
              </a:solidFill>
            </a:rPr>
            <a:t>Blue cells </a:t>
          </a:r>
          <a:r>
            <a:rPr lang="en-GB" sz="1800"/>
            <a:t>with a thick border are dropdown menus, click on the cell to access the list of options.</a:t>
          </a:r>
        </a:p>
        <a:p>
          <a:pPr fontAlgn="t"/>
          <a:endParaRPr lang="en-GB" sz="1800"/>
        </a:p>
        <a:p>
          <a:pPr fontAlgn="t"/>
          <a:r>
            <a:rPr lang="en-GB" sz="1800"/>
            <a:t>Where applicable, there are various notes stated throughout the estimator. Make sure to read these to ensure that this is completed correctly.  </a:t>
          </a:r>
        </a:p>
        <a:p>
          <a:pPr fontAlgn="t"/>
          <a:endParaRPr lang="en-GB" sz="1800"/>
        </a:p>
        <a:p>
          <a:pPr fontAlgn="t"/>
          <a:r>
            <a:rPr lang="en-GB" sz="1800" b="1"/>
            <a:t>NB: At certain zoom levels, some text may appear cut off. Please adjust the zoom level or click on the cell to view the full content in the formula bar.</a:t>
          </a:r>
          <a:br>
            <a:rPr lang="en-GB" sz="1800" b="1"/>
          </a:br>
          <a:endParaRPr lang="en-GB" sz="1800" b="1"/>
        </a:p>
        <a:p>
          <a:pPr fontAlgn="t"/>
          <a:r>
            <a:rPr lang="en-GB" sz="1800" b="1" u="sng"/>
            <a:t>Step 1: Enter Site Details</a:t>
          </a:r>
        </a:p>
        <a:p>
          <a:pPr fontAlgn="t"/>
          <a:r>
            <a:rPr lang="en-GB" sz="1800"/>
            <a:t>At the top of the sheet, input the core details of the development that is being assessed. </a:t>
          </a:r>
        </a:p>
        <a:p>
          <a:pPr fontAlgn="t"/>
          <a:endParaRPr lang="en-GB" sz="1800"/>
        </a:p>
        <a:p>
          <a:pPr fontAlgn="t"/>
          <a:r>
            <a:rPr lang="en-GB" sz="1800" b="1" u="sng"/>
            <a:t>Step 2: Enter Residential Development Information</a:t>
          </a:r>
        </a:p>
        <a:p>
          <a:pPr fontAlgn="t"/>
          <a:r>
            <a:rPr lang="en-GB" sz="1800"/>
            <a:t>Where applicable, complete the relevant residential section:</a:t>
          </a:r>
        </a:p>
        <a:p>
          <a:pPr marL="771658" indent="-771658" fontAlgn="t">
            <a:buFont typeface="Arial" panose="020B0604020202020204" pitchFamily="34" charset="0"/>
            <a:buChar char="•"/>
          </a:pPr>
          <a:r>
            <a:rPr lang="en-GB" sz="1800"/>
            <a:t>Enter the number of houses and/or flats by bedroom size.</a:t>
          </a:r>
        </a:p>
        <a:p>
          <a:pPr marL="771658" indent="-771658" fontAlgn="t">
            <a:buFont typeface="Arial" panose="020B0604020202020204" pitchFamily="34" charset="0"/>
            <a:buChar char="•"/>
          </a:pPr>
          <a:r>
            <a:rPr lang="en-GB" sz="1800"/>
            <a:t>If applicable, enter the number of student bedspaces. No further detail is needed for the estimator in terms of types of units (e.g. studio,</a:t>
          </a:r>
          <a:r>
            <a:rPr lang="en-GB" sz="1800" baseline="0"/>
            <a:t> cluster, etc.)</a:t>
          </a:r>
          <a:r>
            <a:rPr lang="en-GB" sz="1800"/>
            <a:t>. </a:t>
          </a:r>
        </a:p>
        <a:p>
          <a:pPr fontAlgn="t"/>
          <a:br>
            <a:rPr lang="en-GB" sz="1800"/>
          </a:br>
          <a:r>
            <a:rPr lang="en-GB" sz="1800" b="1" u="sng"/>
            <a:t>Step 3: Enter Commercial or Other Uses (If Applicable)</a:t>
          </a:r>
        </a:p>
        <a:p>
          <a:pPr defTabSz="4115498" fontAlgn="t">
            <a:defRPr/>
          </a:pPr>
          <a:r>
            <a:rPr lang="en-GB" sz="1800" i="1"/>
            <a:t>If the scheme is residential only, these fields should be left blank.</a:t>
          </a:r>
        </a:p>
        <a:p>
          <a:pPr fontAlgn="t"/>
          <a:endParaRPr lang="en-GB" sz="1800" b="1"/>
        </a:p>
        <a:p>
          <a:pPr fontAlgn="t"/>
          <a:r>
            <a:rPr lang="en-GB" sz="1800"/>
            <a:t>If the development includes non‑residential uses:</a:t>
          </a:r>
        </a:p>
        <a:p>
          <a:pPr marL="771658" indent="-771658" fontAlgn="t">
            <a:buFont typeface="Arial" panose="020B0604020202020204" pitchFamily="34" charset="0"/>
            <a:buChar char="•"/>
          </a:pPr>
          <a:r>
            <a:rPr lang="en-GB" sz="1800"/>
            <a:t>Select the appropriate use(s) from the dropdown menu – this is the boxes in blue with thick boundaries. To</a:t>
          </a:r>
          <a:r>
            <a:rPr lang="en-GB" sz="1800" baseline="0"/>
            <a:t> clear the cell, simply click on it and delete the entry.</a:t>
          </a:r>
          <a:endParaRPr lang="en-GB" sz="1800"/>
        </a:p>
        <a:p>
          <a:pPr marL="771658" indent="-771658" fontAlgn="t">
            <a:buFont typeface="Arial" panose="020B0604020202020204" pitchFamily="34" charset="0"/>
            <a:buChar char="•"/>
          </a:pPr>
          <a:r>
            <a:rPr lang="en-GB" sz="1800"/>
            <a:t>Enter the relevant floorspace or unit figures – the default is NIA, however, some use classes require other types of floor area calculations. Where applicable, this is stated in the description of the use. </a:t>
          </a:r>
        </a:p>
        <a:p>
          <a:pPr fontAlgn="t"/>
          <a:endParaRPr lang="en-GB" sz="1800"/>
        </a:p>
        <a:p>
          <a:pPr fontAlgn="t"/>
          <a:r>
            <a:rPr lang="en-GB" sz="1800" b="1" u="sng"/>
            <a:t>Step 4: Enter Site and Cost Information</a:t>
          </a:r>
        </a:p>
        <a:p>
          <a:pPr fontAlgn="t"/>
          <a:r>
            <a:rPr lang="en-GB" sz="1800"/>
            <a:t>Provide:</a:t>
          </a:r>
        </a:p>
        <a:p>
          <a:pPr marL="771658" indent="-771658" fontAlgn="t">
            <a:buFont typeface="Arial" panose="020B0604020202020204" pitchFamily="34" charset="0"/>
            <a:buChar char="•"/>
          </a:pPr>
          <a:r>
            <a:rPr lang="en-GB" sz="1800" b="1"/>
            <a:t>Site area </a:t>
          </a:r>
          <a:r>
            <a:rPr lang="en-GB" sz="1800"/>
            <a:t>– note for most uses this is for information only, this only affects the calculations of residential developments of between 10-14 units. </a:t>
          </a:r>
        </a:p>
        <a:p>
          <a:pPr marL="771658" indent="-771658" fontAlgn="t">
            <a:buFont typeface="Arial" panose="020B0604020202020204" pitchFamily="34" charset="0"/>
            <a:buChar char="•"/>
          </a:pPr>
          <a:r>
            <a:rPr lang="en-GB" sz="1800" b="1"/>
            <a:t>Proposed on‑site open space </a:t>
          </a:r>
          <a:r>
            <a:rPr lang="en-GB" sz="1800"/>
            <a:t>(if any) – cumulative open space for all uses in the development.</a:t>
          </a:r>
        </a:p>
        <a:p>
          <a:pPr marL="771658" indent="-771658" fontAlgn="t">
            <a:buFont typeface="Arial" panose="020B0604020202020204" pitchFamily="34" charset="0"/>
            <a:buChar char="•"/>
          </a:pPr>
          <a:r>
            <a:rPr lang="en-GB" sz="1800" b="1"/>
            <a:t>Estimated build cost </a:t>
          </a:r>
          <a:r>
            <a:rPr lang="en-GB" sz="1800"/>
            <a:t>– this is a mandatory input for working out employment and training contributions. To</a:t>
          </a:r>
          <a:r>
            <a:rPr lang="en-GB" sz="1800" baseline="0"/>
            <a:t> complete this, differenate between build cost for residential and commercial components. </a:t>
          </a:r>
          <a:endParaRPr lang="en-GB" sz="1800"/>
        </a:p>
        <a:p>
          <a:endParaRPr lang="en-GB" sz="1800"/>
        </a:p>
        <a:p>
          <a:pPr fontAlgn="t"/>
          <a:r>
            <a:rPr lang="en-GB" sz="1800" b="1" u="sng"/>
            <a:t>Step 5: Review outputs</a:t>
          </a:r>
        </a:p>
        <a:p>
          <a:pPr fontAlgn="t"/>
          <a:r>
            <a:rPr lang="en-GB" sz="1800"/>
            <a:t>The final step is then to review the outputs. As a reminder, these are indicative costs that provide an initial input to the negotiation process. Further clarification is provided in the notes, including underlying pupil yield estimates where education contributions are applicable.  </a:t>
          </a:r>
        </a:p>
        <a:p>
          <a:endParaRPr lang="en-GB" sz="2000"/>
        </a:p>
      </xdr:txBody>
    </xdr:sp>
    <xdr:clientData/>
  </xdr:oneCellAnchor>
  <xdr:twoCellAnchor>
    <xdr:from>
      <xdr:col>30</xdr:col>
      <xdr:colOff>100445</xdr:colOff>
      <xdr:row>3</xdr:row>
      <xdr:rowOff>106657</xdr:rowOff>
    </xdr:from>
    <xdr:to>
      <xdr:col>34</xdr:col>
      <xdr:colOff>308451</xdr:colOff>
      <xdr:row>8</xdr:row>
      <xdr:rowOff>163533</xdr:rowOff>
    </xdr:to>
    <xdr:grpSp>
      <xdr:nvGrpSpPr>
        <xdr:cNvPr id="21" name="Group 20">
          <a:extLst>
            <a:ext uri="{FF2B5EF4-FFF2-40B4-BE49-F238E27FC236}">
              <a16:creationId xmlns:a16="http://schemas.microsoft.com/office/drawing/2014/main" id="{8FA696F8-4483-93BD-025B-4F88665406A8}"/>
            </a:ext>
          </a:extLst>
        </xdr:cNvPr>
        <xdr:cNvGrpSpPr/>
      </xdr:nvGrpSpPr>
      <xdr:grpSpPr>
        <a:xfrm>
          <a:off x="18515445" y="762824"/>
          <a:ext cx="2663339" cy="1009376"/>
          <a:chOff x="18165536" y="597752"/>
          <a:chExt cx="2864120" cy="1130356"/>
        </a:xfrm>
      </xdr:grpSpPr>
      <xdr:sp macro="" textlink="">
        <xdr:nvSpPr>
          <xdr:cNvPr id="18" name="Rectangle: Rounded Corners 17">
            <a:extLst>
              <a:ext uri="{FF2B5EF4-FFF2-40B4-BE49-F238E27FC236}">
                <a16:creationId xmlns:a16="http://schemas.microsoft.com/office/drawing/2014/main" id="{D003FFD1-2DCA-C638-2E97-4F8DCC037349}"/>
              </a:ext>
            </a:extLst>
          </xdr:cNvPr>
          <xdr:cNvSpPr/>
        </xdr:nvSpPr>
        <xdr:spPr>
          <a:xfrm>
            <a:off x="18165536" y="597752"/>
            <a:ext cx="2864120" cy="113035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GB"/>
          </a:p>
        </xdr:txBody>
      </xdr:sp>
      <xdr:pic>
        <xdr:nvPicPr>
          <xdr:cNvPr id="19" name="Picture 18">
            <a:extLst>
              <a:ext uri="{FF2B5EF4-FFF2-40B4-BE49-F238E27FC236}">
                <a16:creationId xmlns:a16="http://schemas.microsoft.com/office/drawing/2014/main" id="{29CBFDEA-3638-1AF3-F40E-3886B7F6366D}"/>
              </a:ext>
            </a:extLst>
          </xdr:cNvPr>
          <xdr:cNvPicPr>
            <a:picLocks noChangeAspect="1"/>
          </xdr:cNvPicPr>
        </xdr:nvPicPr>
        <xdr:blipFill>
          <a:blip xmlns:r="http://schemas.openxmlformats.org/officeDocument/2006/relationships" r:embed="rId2"/>
          <a:stretch>
            <a:fillRect/>
          </a:stretch>
        </xdr:blipFill>
        <xdr:spPr>
          <a:xfrm>
            <a:off x="18296287" y="700898"/>
            <a:ext cx="2590676" cy="945468"/>
          </a:xfrm>
          <a:prstGeom prst="rect">
            <a:avLst/>
          </a:prstGeom>
        </xdr:spPr>
      </xdr:pic>
    </xdr:grpSp>
    <xdr:clientData/>
  </xdr:twoCellAnchor>
  <xdr:twoCellAnchor>
    <xdr:from>
      <xdr:col>1</xdr:col>
      <xdr:colOff>0</xdr:colOff>
      <xdr:row>1</xdr:row>
      <xdr:rowOff>2769</xdr:rowOff>
    </xdr:from>
    <xdr:to>
      <xdr:col>38</xdr:col>
      <xdr:colOff>321826</xdr:colOff>
      <xdr:row>73</xdr:row>
      <xdr:rowOff>124690</xdr:rowOff>
    </xdr:to>
    <xdr:sp macro="" textlink="">
      <xdr:nvSpPr>
        <xdr:cNvPr id="20" name="Rectangle 19">
          <a:extLst>
            <a:ext uri="{FF2B5EF4-FFF2-40B4-BE49-F238E27FC236}">
              <a16:creationId xmlns:a16="http://schemas.microsoft.com/office/drawing/2014/main" id="{92C7CDF4-EFD0-5F08-ECDB-86AE1F76A349}"/>
            </a:ext>
          </a:extLst>
        </xdr:cNvPr>
        <xdr:cNvSpPr/>
      </xdr:nvSpPr>
      <xdr:spPr>
        <a:xfrm>
          <a:off x="609600" y="182878"/>
          <a:ext cx="22877026" cy="13172903"/>
        </a:xfrm>
        <a:prstGeom prst="rect">
          <a:avLst/>
        </a:prstGeom>
        <a:noFill/>
        <a:ln w="571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GB"/>
        </a:p>
      </xdr:txBody>
    </xdr:sp>
    <xdr:clientData/>
  </xdr:twoCellAnchor>
  <xdr:twoCellAnchor>
    <xdr:from>
      <xdr:col>13</xdr:col>
      <xdr:colOff>464720</xdr:colOff>
      <xdr:row>65</xdr:row>
      <xdr:rowOff>26965</xdr:rowOff>
    </xdr:from>
    <xdr:to>
      <xdr:col>25</xdr:col>
      <xdr:colOff>345053</xdr:colOff>
      <xdr:row>70</xdr:row>
      <xdr:rowOff>178919</xdr:rowOff>
    </xdr:to>
    <xdr:sp macro="" textlink="">
      <xdr:nvSpPr>
        <xdr:cNvPr id="22" name="Rectangle: Rounded Corners 21">
          <a:hlinkClick xmlns:r="http://schemas.openxmlformats.org/officeDocument/2006/relationships" r:id="rId3"/>
          <a:extLst>
            <a:ext uri="{FF2B5EF4-FFF2-40B4-BE49-F238E27FC236}">
              <a16:creationId xmlns:a16="http://schemas.microsoft.com/office/drawing/2014/main" id="{595560F3-5267-B3B1-DA07-EE1554D950BE}"/>
            </a:ext>
          </a:extLst>
        </xdr:cNvPr>
        <xdr:cNvSpPr/>
      </xdr:nvSpPr>
      <xdr:spPr>
        <a:xfrm>
          <a:off x="8513345" y="12480903"/>
          <a:ext cx="7309833" cy="1104454"/>
        </a:xfrm>
        <a:prstGeom prst="roundRect">
          <a:avLst/>
        </a:prstGeom>
        <a:solidFill>
          <a:schemeClr val="accent1">
            <a:lumMod val="50000"/>
          </a:schemeClr>
        </a:solidFill>
        <a:ln w="38100">
          <a:solidFill>
            <a:schemeClr val="bg1"/>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GB" sz="2400" b="1"/>
            <a:t>Click here to confirm you have read these instructions, and go</a:t>
          </a:r>
          <a:r>
            <a:rPr lang="en-GB" sz="2400" b="1" baseline="0"/>
            <a:t> to the 'Inputs and Outputs' sheet</a:t>
          </a:r>
        </a:p>
      </xdr:txBody>
    </xdr:sp>
    <xdr:clientData/>
  </xdr:twoCellAnchor>
  <xdr:twoCellAnchor editAs="oneCell">
    <xdr:from>
      <xdr:col>4</xdr:col>
      <xdr:colOff>55420</xdr:colOff>
      <xdr:row>5</xdr:row>
      <xdr:rowOff>58882</xdr:rowOff>
    </xdr:from>
    <xdr:to>
      <xdr:col>5</xdr:col>
      <xdr:colOff>593160</xdr:colOff>
      <xdr:row>13</xdr:row>
      <xdr:rowOff>55072</xdr:rowOff>
    </xdr:to>
    <xdr:pic>
      <xdr:nvPicPr>
        <xdr:cNvPr id="23" name="Picture 22">
          <a:extLst>
            <a:ext uri="{FF2B5EF4-FFF2-40B4-BE49-F238E27FC236}">
              <a16:creationId xmlns:a16="http://schemas.microsoft.com/office/drawing/2014/main" id="{B8599902-4D3A-442A-7A77-F4456ACABA4B}"/>
            </a:ext>
          </a:extLst>
        </xdr:cNvPr>
        <xdr:cNvPicPr>
          <a:picLocks noChangeAspect="1" noChangeArrowheads="1"/>
        </xdr:cNvPicPr>
      </xdr:nvPicPr>
      <xdr:blipFill>
        <a:blip xmlns:r="http://schemas.openxmlformats.org/officeDocument/2006/relationships" r:embed="rId4">
          <a:lum bright="70000" contrast="-70000"/>
          <a:extLst>
            <a:ext uri="{28A0092B-C50C-407E-A947-70E740481C1C}">
              <a14:useLocalDpi xmlns:a14="http://schemas.microsoft.com/office/drawing/2010/main" val="0"/>
            </a:ext>
          </a:extLst>
        </a:blip>
        <a:srcRect/>
        <a:stretch>
          <a:fillRect/>
        </a:stretch>
      </xdr:blipFill>
      <xdr:spPr bwMode="auto">
        <a:xfrm>
          <a:off x="2493820" y="1042555"/>
          <a:ext cx="1154960" cy="1440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503464</xdr:colOff>
      <xdr:row>32</xdr:row>
      <xdr:rowOff>27214</xdr:rowOff>
    </xdr:from>
    <xdr:to>
      <xdr:col>5</xdr:col>
      <xdr:colOff>1061357</xdr:colOff>
      <xdr:row>32</xdr:row>
      <xdr:rowOff>616327</xdr:rowOff>
    </xdr:to>
    <xdr:pic>
      <xdr:nvPicPr>
        <xdr:cNvPr id="2" name="Picture 9">
          <a:extLst>
            <a:ext uri="{FF2B5EF4-FFF2-40B4-BE49-F238E27FC236}">
              <a16:creationId xmlns:a16="http://schemas.microsoft.com/office/drawing/2014/main" id="{4FA60F66-75DD-97EE-7821-2CB26552E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39893" y="8613321"/>
          <a:ext cx="557893" cy="58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123265</xdr:colOff>
      <xdr:row>32</xdr:row>
      <xdr:rowOff>44825</xdr:rowOff>
    </xdr:from>
    <xdr:to>
      <xdr:col>9</xdr:col>
      <xdr:colOff>795618</xdr:colOff>
      <xdr:row>32</xdr:row>
      <xdr:rowOff>604713</xdr:rowOff>
    </xdr:to>
    <xdr:pic>
      <xdr:nvPicPr>
        <xdr:cNvPr id="3" name="Picture 7">
          <a:extLst>
            <a:ext uri="{FF2B5EF4-FFF2-40B4-BE49-F238E27FC236}">
              <a16:creationId xmlns:a16="http://schemas.microsoft.com/office/drawing/2014/main" id="{7F510B3B-B251-C9AF-15A9-132024D7B7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0" y="8482854"/>
          <a:ext cx="672353" cy="55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280147</xdr:colOff>
      <xdr:row>32</xdr:row>
      <xdr:rowOff>33619</xdr:rowOff>
    </xdr:from>
    <xdr:to>
      <xdr:col>1</xdr:col>
      <xdr:colOff>806824</xdr:colOff>
      <xdr:row>32</xdr:row>
      <xdr:rowOff>588535</xdr:rowOff>
    </xdr:to>
    <xdr:pic>
      <xdr:nvPicPr>
        <xdr:cNvPr id="4" name="Picture 8">
          <a:extLst>
            <a:ext uri="{FF2B5EF4-FFF2-40B4-BE49-F238E27FC236}">
              <a16:creationId xmlns:a16="http://schemas.microsoft.com/office/drawing/2014/main" id="{60E6FDB6-0C59-5581-EC0E-A53B6A1BC4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0" y="8471648"/>
          <a:ext cx="526677" cy="55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336177</xdr:colOff>
      <xdr:row>37</xdr:row>
      <xdr:rowOff>235325</xdr:rowOff>
    </xdr:from>
    <xdr:to>
      <xdr:col>1</xdr:col>
      <xdr:colOff>818030</xdr:colOff>
      <xdr:row>39</xdr:row>
      <xdr:rowOff>1</xdr:rowOff>
    </xdr:to>
    <xdr:pic>
      <xdr:nvPicPr>
        <xdr:cNvPr id="5" name="Picture 4">
          <a:extLst>
            <a:ext uri="{FF2B5EF4-FFF2-40B4-BE49-F238E27FC236}">
              <a16:creationId xmlns:a16="http://schemas.microsoft.com/office/drawing/2014/main" id="{55D8CA8B-8B93-8912-8913-D4B907F5F84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92586" y="10314507"/>
          <a:ext cx="481853" cy="561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265807</xdr:colOff>
      <xdr:row>91</xdr:row>
      <xdr:rowOff>26894</xdr:rowOff>
    </xdr:from>
    <xdr:to>
      <xdr:col>4</xdr:col>
      <xdr:colOff>1172634</xdr:colOff>
      <xdr:row>119</xdr:row>
      <xdr:rowOff>168391</xdr:rowOff>
    </xdr:to>
    <xdr:pic>
      <xdr:nvPicPr>
        <xdr:cNvPr id="3" name="Picture 2">
          <a:extLst>
            <a:ext uri="{FF2B5EF4-FFF2-40B4-BE49-F238E27FC236}">
              <a16:creationId xmlns:a16="http://schemas.microsoft.com/office/drawing/2014/main" id="{864CDD4B-6559-1A3A-661D-63D813E9AAA8}"/>
            </a:ext>
          </a:extLst>
        </xdr:cNvPr>
        <xdr:cNvPicPr>
          <a:picLocks noChangeAspect="1"/>
        </xdr:cNvPicPr>
      </xdr:nvPicPr>
      <xdr:blipFill>
        <a:blip xmlns:r="http://schemas.openxmlformats.org/officeDocument/2006/relationships" r:embed="rId1"/>
        <a:stretch>
          <a:fillRect/>
        </a:stretch>
      </xdr:blipFill>
      <xdr:spPr>
        <a:xfrm>
          <a:off x="2426301" y="14800729"/>
          <a:ext cx="5991721" cy="5157922"/>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ABCD51-FA4B-4E75-B3F4-3C5E9F715CBD}" name="Table1" displayName="Table1" ref="M22:T60" totalsRowCount="1" headerRowDxfId="20" dataDxfId="18" totalsRowDxfId="16" headerRowBorderDxfId="19" tableBorderDxfId="17" totalsRowBorderDxfId="15">
  <autoFilter ref="M22:T59" xr:uid="{5CABCD51-FA4B-4E75-B3F4-3C5E9F715CBD}"/>
  <sortState xmlns:xlrd2="http://schemas.microsoft.com/office/spreadsheetml/2017/richdata2" ref="M23:P58">
    <sortCondition ref="M22:M58"/>
  </sortState>
  <tableColumns count="8">
    <tableColumn id="1" xr3:uid="{6BF66914-7566-4E7E-A467-765034D26594}" name="Use" totalsRowLabel="Total" dataDxfId="14" totalsRowDxfId="13"/>
    <tableColumn id="2" xr3:uid="{5F1EB556-F261-498A-B652-4988A0C353C5}" name="sqm /rooms per emp." dataDxfId="12" totalsRowDxfId="11" dataCellStyle="Comma"/>
    <tableColumn id="4" xr3:uid="{0928ECCF-71B2-48DE-94B9-7A0E0270D38A}" name="Total sqm proposed / rooms" totalsRowFunction="sum" dataDxfId="10" totalsRowDxfId="9">
      <calculatedColumnFormula>SUMIF('Inputs and Outputs'!$F$22:$H$22, Table1[[#This Row],[Use]], 'Inputs and Outputs'!$I$22:$I$22)</calculatedColumnFormula>
    </tableColumn>
    <tableColumn id="5" xr3:uid="{8690B51B-1EA0-407F-B001-21902003570D}" name="Est. num. emp. - operations" totalsRowFunction="sum" totalsRowDxfId="8" dataCellStyle="Comma">
      <calculatedColumnFormula>Table1[[#This Row],[Total sqm proposed / rooms]]/Table1[[#This Row],[sqm /rooms per emp.]]</calculatedColumnFormula>
    </tableColumn>
    <tableColumn id="3" xr3:uid="{1FC4B700-43B6-4F48-8381-2CEA8FE5EA7B}" name="Con.Cat." dataDxfId="7" totalsRowDxfId="6"/>
    <tableColumn id="6" xr3:uid="{51B56B3F-53F0-468D-9FF0-890A294F16C8}" name="Cons. FTE per £1m" dataDxfId="5" totalsRowDxfId="4"/>
    <tableColumn id="7" xr3:uid="{561B2793-18FC-4A4C-8D7F-6F5A39449096}" name="Com. Con. Cost" dataDxfId="3" totalsRowDxfId="2">
      <calculatedColumnFormula>SUMIF('Inputs and Outputs'!$F$22:$H$22, Table1[[#This Row],[Use]], 'Inputs and Outputs'!$F$30)</calculatedColumnFormula>
    </tableColumn>
    <tableColumn id="8" xr3:uid="{A80B24BC-CC49-4843-9183-BEDF7CEBE365}" name="Est. num. emp. - construction" totalsRowFunction="sum" dataDxfId="1" totalsRowDxfId="0">
      <calculatedColumnFormula>(Table1[[#This Row],[Com. Con. Cost]]/1000000)*Table1[[#This Row],[Cons. FTE per £1m]]</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ottinghamcity.gov.uk/information-for-business/planning-and-building-control/planning-policy/the-local-plan-and-planning-policy/the-adopted-local-plan/" TargetMode="External"/><Relationship Id="rId2" Type="http://schemas.openxmlformats.org/officeDocument/2006/relationships/hyperlink" Target="https://www.nottinghamcity.gov.uk/information-for-business/planning-and-building-control/planning-applications/do-i-need-planning-permission/developer-contributions-s106-agreements/" TargetMode="External"/><Relationship Id="rId1" Type="http://schemas.openxmlformats.org/officeDocument/2006/relationships/hyperlink" Target="https://www.nottinghamcity.gov.uk/information-for-business/planning-and-building-control/planning-policy/the-local-plan-and-planning-policy/"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dmo.gov.uk/data/ExportReport?reportCode=D4O" TargetMode="External"/><Relationship Id="rId1" Type="http://schemas.openxmlformats.org/officeDocument/2006/relationships/hyperlink" Target="https://landregistry.data.gov.uk/app/ppd/?relative_url_root=%2Fapp%2Fppd"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1BC6-49FD-4118-B83E-294D5A63ACCC}">
  <dimension ref="AJ2"/>
  <sheetViews>
    <sheetView tabSelected="1" zoomScale="45" zoomScaleNormal="45" workbookViewId="0">
      <selection activeCell="AU52" sqref="AU52"/>
    </sheetView>
  </sheetViews>
  <sheetFormatPr defaultRowHeight="15" x14ac:dyDescent="0.25"/>
  <sheetData>
    <row r="2" spans="36:36" ht="21" x14ac:dyDescent="0.35">
      <c r="AJ2" s="160"/>
    </row>
  </sheetData>
  <sheetProtection algorithmName="SHA-512" hashValue="ZNi82OtwNfphO51VxY6KlspuIH1LH8n/31CmCokt9sFISfOj1aXD9rXSSjiP4nENZNJL8fBeCF+4ph+W2/YR6A==" saltValue="EwUT9JlF57aQLfmVKHLd9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7F2A-0400-4580-949D-B4D0733C8B87}">
  <dimension ref="A1:T83"/>
  <sheetViews>
    <sheetView topLeftCell="A37" zoomScale="55" zoomScaleNormal="55" workbookViewId="0">
      <selection activeCell="E80" sqref="E80"/>
    </sheetView>
  </sheetViews>
  <sheetFormatPr defaultColWidth="8.85546875" defaultRowHeight="18.75" x14ac:dyDescent="0.3"/>
  <cols>
    <col min="1" max="1" width="15.7109375" style="62" customWidth="1"/>
    <col min="2" max="2" width="16.5703125" style="1" customWidth="1"/>
    <col min="3" max="3" width="66.85546875" style="1" customWidth="1"/>
    <col min="4" max="4" width="22.140625" style="1" customWidth="1"/>
    <col min="5" max="5" width="22.85546875" style="1" customWidth="1"/>
    <col min="6" max="6" width="20.140625" style="1" customWidth="1"/>
    <col min="7" max="7" width="24" style="1" customWidth="1"/>
    <col min="8" max="8" width="22.5703125" style="1" customWidth="1"/>
    <col min="9" max="9" width="16.5703125" style="1" customWidth="1"/>
    <col min="10" max="10" width="15.7109375" style="1" customWidth="1"/>
    <col min="11" max="11" width="21.85546875" style="1" customWidth="1"/>
    <col min="12" max="12" width="22.28515625" style="1" customWidth="1"/>
    <col min="13" max="13" width="6.7109375" style="1" customWidth="1"/>
    <col min="14" max="14" width="8.85546875" style="1"/>
    <col min="15" max="15" width="10" style="1" bestFit="1" customWidth="1"/>
    <col min="16" max="16384" width="8.85546875" style="1"/>
  </cols>
  <sheetData>
    <row r="1" spans="1:20" ht="19.5" thickBot="1" x14ac:dyDescent="0.35"/>
    <row r="2" spans="1:20" x14ac:dyDescent="0.3">
      <c r="A2" s="63" t="s">
        <v>0</v>
      </c>
      <c r="B2" s="2"/>
      <c r="C2" s="3"/>
      <c r="D2" s="3"/>
      <c r="E2" s="3"/>
      <c r="F2" s="3"/>
      <c r="G2" s="3"/>
      <c r="H2" s="3"/>
      <c r="I2" s="3"/>
      <c r="J2" s="3"/>
      <c r="K2" s="3"/>
      <c r="L2" s="3"/>
      <c r="M2" s="4"/>
      <c r="O2" s="256" t="s">
        <v>1</v>
      </c>
      <c r="P2" s="232"/>
      <c r="Q2" s="232"/>
      <c r="R2" s="232"/>
      <c r="S2" s="232"/>
    </row>
    <row r="3" spans="1:20" x14ac:dyDescent="0.3">
      <c r="B3" s="5"/>
      <c r="C3" s="37" t="s">
        <v>2</v>
      </c>
      <c r="D3" s="261"/>
      <c r="E3" s="261"/>
      <c r="F3" s="261"/>
      <c r="G3" s="261"/>
      <c r="H3" s="231" t="s">
        <v>3</v>
      </c>
      <c r="I3" s="232"/>
      <c r="J3" s="262"/>
      <c r="K3" s="60"/>
      <c r="L3" s="27"/>
      <c r="M3" s="6"/>
      <c r="O3" s="64"/>
      <c r="P3" s="254" t="s">
        <v>4</v>
      </c>
      <c r="Q3" s="232"/>
      <c r="R3" s="232"/>
      <c r="S3" s="232"/>
      <c r="T3" s="232"/>
    </row>
    <row r="4" spans="1:20" ht="19.5" thickBot="1" x14ac:dyDescent="0.35">
      <c r="B4" s="5"/>
      <c r="C4" s="37"/>
      <c r="D4" s="27"/>
      <c r="E4" s="27"/>
      <c r="F4" s="27"/>
      <c r="G4" s="27"/>
      <c r="H4" s="27"/>
      <c r="I4" s="27"/>
      <c r="J4" s="27"/>
      <c r="K4" s="27"/>
      <c r="L4" s="27"/>
      <c r="M4" s="6"/>
      <c r="O4" s="159"/>
      <c r="P4" s="255" t="s">
        <v>5</v>
      </c>
      <c r="Q4" s="232"/>
      <c r="R4" s="232"/>
      <c r="S4" s="232"/>
      <c r="T4" s="232"/>
    </row>
    <row r="5" spans="1:20" ht="25.15" customHeight="1" x14ac:dyDescent="0.3">
      <c r="B5" s="5"/>
      <c r="C5" s="37" t="s">
        <v>6</v>
      </c>
      <c r="D5" s="260"/>
      <c r="E5" s="260"/>
      <c r="F5" s="260"/>
      <c r="G5" s="260"/>
      <c r="H5" s="260"/>
      <c r="I5" s="260"/>
      <c r="J5" s="260"/>
      <c r="K5" s="260"/>
      <c r="L5" s="27"/>
      <c r="M5" s="6"/>
    </row>
    <row r="6" spans="1:20" ht="28.5" customHeight="1" x14ac:dyDescent="0.3">
      <c r="B6" s="5"/>
      <c r="C6" s="37"/>
      <c r="D6" s="260"/>
      <c r="E6" s="260"/>
      <c r="F6" s="260"/>
      <c r="G6" s="260"/>
      <c r="H6" s="260"/>
      <c r="I6" s="260"/>
      <c r="J6" s="260"/>
      <c r="K6" s="260"/>
      <c r="L6" s="27"/>
      <c r="M6" s="6"/>
    </row>
    <row r="7" spans="1:20" x14ac:dyDescent="0.3">
      <c r="B7" s="5"/>
      <c r="C7" s="37"/>
      <c r="D7" s="27"/>
      <c r="E7" s="27"/>
      <c r="F7" s="27"/>
      <c r="G7" s="27"/>
      <c r="H7" s="27"/>
      <c r="I7" s="27"/>
      <c r="J7" s="27"/>
      <c r="K7" s="27"/>
      <c r="L7" s="27"/>
      <c r="M7" s="6"/>
    </row>
    <row r="8" spans="1:20" x14ac:dyDescent="0.3">
      <c r="B8" s="5"/>
      <c r="C8" s="37" t="s">
        <v>7</v>
      </c>
      <c r="D8" s="170"/>
      <c r="E8" s="27"/>
      <c r="F8" s="27"/>
      <c r="G8" s="27"/>
      <c r="H8" s="27"/>
      <c r="I8" s="27"/>
      <c r="J8" s="27"/>
      <c r="K8" s="27"/>
      <c r="L8" s="27"/>
      <c r="M8" s="6"/>
    </row>
    <row r="9" spans="1:20" x14ac:dyDescent="0.3">
      <c r="B9" s="5"/>
      <c r="C9" s="37" t="s">
        <v>8</v>
      </c>
      <c r="D9" s="171">
        <v>46195</v>
      </c>
      <c r="E9" s="263" t="s">
        <v>9</v>
      </c>
      <c r="F9" s="232"/>
      <c r="G9" s="232"/>
      <c r="H9" s="232"/>
      <c r="I9" s="232"/>
      <c r="J9" s="232"/>
      <c r="K9" s="232"/>
      <c r="L9" s="27"/>
      <c r="M9" s="6"/>
    </row>
    <row r="10" spans="1:20" ht="19.5" thickBot="1" x14ac:dyDescent="0.35">
      <c r="B10" s="7"/>
      <c r="C10" s="8"/>
      <c r="D10" s="9"/>
      <c r="E10" s="9"/>
      <c r="F10" s="9"/>
      <c r="G10" s="9"/>
      <c r="H10" s="9"/>
      <c r="I10" s="9"/>
      <c r="J10" s="9"/>
      <c r="K10" s="9"/>
      <c r="L10" s="9"/>
      <c r="M10" s="10"/>
    </row>
    <row r="11" spans="1:20" ht="19.5" thickBot="1" x14ac:dyDescent="0.35"/>
    <row r="12" spans="1:20" x14ac:dyDescent="0.3">
      <c r="A12" s="63" t="s">
        <v>10</v>
      </c>
      <c r="B12" s="11"/>
      <c r="C12" s="3"/>
      <c r="D12" s="3"/>
      <c r="E12" s="3"/>
      <c r="F12" s="3"/>
      <c r="G12" s="3"/>
      <c r="H12" s="3"/>
      <c r="I12" s="3"/>
      <c r="J12" s="3"/>
      <c r="K12" s="3"/>
      <c r="L12" s="3"/>
      <c r="M12" s="4"/>
    </row>
    <row r="13" spans="1:20" ht="37.5" customHeight="1" x14ac:dyDescent="0.3">
      <c r="B13" s="5"/>
      <c r="C13" s="37" t="s">
        <v>11</v>
      </c>
      <c r="D13" s="44"/>
      <c r="E13" s="58" t="s">
        <v>12</v>
      </c>
      <c r="F13" s="58" t="s">
        <v>13</v>
      </c>
      <c r="G13" s="58" t="s">
        <v>14</v>
      </c>
      <c r="H13" s="58" t="s">
        <v>15</v>
      </c>
      <c r="I13" s="58" t="s">
        <v>16</v>
      </c>
      <c r="J13" s="58" t="s">
        <v>17</v>
      </c>
      <c r="K13" s="58" t="s">
        <v>18</v>
      </c>
      <c r="L13" s="27"/>
      <c r="M13" s="6"/>
    </row>
    <row r="14" spans="1:20" x14ac:dyDescent="0.3">
      <c r="B14" s="5"/>
      <c r="C14" s="44"/>
      <c r="D14" s="44" t="s">
        <v>19</v>
      </c>
      <c r="E14" s="59"/>
      <c r="F14" s="59"/>
      <c r="G14" s="59"/>
      <c r="H14" s="59"/>
      <c r="I14" s="59"/>
      <c r="J14" s="59"/>
      <c r="K14" s="42">
        <f>SUM(E14:J14)</f>
        <v>0</v>
      </c>
      <c r="L14" s="27"/>
      <c r="M14" s="6"/>
    </row>
    <row r="15" spans="1:20" x14ac:dyDescent="0.3">
      <c r="B15" s="5"/>
      <c r="C15" s="44"/>
      <c r="D15" s="44" t="s">
        <v>20</v>
      </c>
      <c r="E15" s="59"/>
      <c r="F15" s="59"/>
      <c r="G15" s="59"/>
      <c r="H15" s="59"/>
      <c r="I15" s="59"/>
      <c r="J15" s="59"/>
      <c r="K15" s="42">
        <f t="shared" ref="K15:K16" si="0">SUM(E15:J15)</f>
        <v>0</v>
      </c>
      <c r="L15" s="27"/>
      <c r="M15" s="6"/>
      <c r="Q15" s="20"/>
    </row>
    <row r="16" spans="1:20" x14ac:dyDescent="0.3">
      <c r="B16" s="5"/>
      <c r="C16" s="44"/>
      <c r="D16" s="44" t="s">
        <v>18</v>
      </c>
      <c r="E16" s="42">
        <f>E15+E14</f>
        <v>0</v>
      </c>
      <c r="F16" s="42">
        <f>F15+F14</f>
        <v>0</v>
      </c>
      <c r="G16" s="42">
        <f>G15+G14</f>
        <v>0</v>
      </c>
      <c r="H16" s="42">
        <f t="shared" ref="H16:J16" si="1">H15+H14</f>
        <v>0</v>
      </c>
      <c r="I16" s="42">
        <f t="shared" si="1"/>
        <v>0</v>
      </c>
      <c r="J16" s="42">
        <f t="shared" si="1"/>
        <v>0</v>
      </c>
      <c r="K16" s="42">
        <f t="shared" si="0"/>
        <v>0</v>
      </c>
      <c r="L16" s="27"/>
      <c r="M16" s="6"/>
      <c r="P16" s="208"/>
    </row>
    <row r="17" spans="2:19" x14ac:dyDescent="0.3">
      <c r="B17" s="5"/>
      <c r="C17" s="44"/>
      <c r="D17" s="44"/>
      <c r="E17" s="44"/>
      <c r="F17" s="27"/>
      <c r="G17" s="27"/>
      <c r="H17" s="27"/>
      <c r="I17" s="27"/>
      <c r="J17" s="27"/>
      <c r="K17" s="27"/>
      <c r="L17" s="27"/>
      <c r="M17" s="6"/>
    </row>
    <row r="18" spans="2:19" x14ac:dyDescent="0.3">
      <c r="B18" s="5"/>
      <c r="C18" s="37" t="s">
        <v>21</v>
      </c>
      <c r="D18" s="242" t="s">
        <v>22</v>
      </c>
      <c r="E18" s="230"/>
      <c r="F18" s="41"/>
      <c r="G18" s="27"/>
      <c r="H18" s="27"/>
      <c r="I18" s="27"/>
      <c r="J18" s="27"/>
      <c r="K18" s="27"/>
      <c r="L18" s="27"/>
      <c r="M18" s="6"/>
    </row>
    <row r="19" spans="2:19" x14ac:dyDescent="0.3">
      <c r="B19" s="5"/>
      <c r="C19" s="37"/>
      <c r="D19" s="44"/>
      <c r="E19" s="259" t="s">
        <v>23</v>
      </c>
      <c r="F19" s="259"/>
      <c r="G19" s="259"/>
      <c r="H19" s="259"/>
      <c r="I19" s="259"/>
      <c r="J19" s="259"/>
      <c r="K19" s="244"/>
      <c r="L19" s="27"/>
      <c r="M19" s="6"/>
    </row>
    <row r="20" spans="2:19" x14ac:dyDescent="0.3">
      <c r="B20" s="5"/>
      <c r="C20" s="37"/>
      <c r="D20" s="44"/>
      <c r="E20" s="39"/>
      <c r="F20" s="39"/>
      <c r="G20" s="39"/>
      <c r="H20" s="39"/>
      <c r="I20" s="39"/>
      <c r="J20" s="39"/>
      <c r="K20" s="25"/>
      <c r="L20" s="27"/>
      <c r="M20" s="6"/>
    </row>
    <row r="21" spans="2:19" ht="19.5" thickBot="1" x14ac:dyDescent="0.35">
      <c r="B21" s="5"/>
      <c r="C21" s="44"/>
      <c r="D21" s="44"/>
      <c r="E21" s="44"/>
      <c r="F21" s="27"/>
      <c r="G21" s="27"/>
      <c r="H21" s="27"/>
      <c r="I21" s="232" t="s">
        <v>24</v>
      </c>
      <c r="J21" s="232"/>
      <c r="K21" s="232"/>
      <c r="L21" s="27"/>
      <c r="M21" s="6"/>
      <c r="S21" s="26"/>
    </row>
    <row r="22" spans="2:19" x14ac:dyDescent="0.3">
      <c r="B22" s="5"/>
      <c r="C22" s="37" t="s">
        <v>25</v>
      </c>
      <c r="D22" s="242" t="s">
        <v>26</v>
      </c>
      <c r="E22" s="242"/>
      <c r="F22" s="251"/>
      <c r="G22" s="252"/>
      <c r="H22" s="252"/>
      <c r="I22" s="41"/>
      <c r="J22" s="264" t="s">
        <v>28</v>
      </c>
      <c r="K22" s="244"/>
      <c r="L22" s="27"/>
      <c r="M22" s="6"/>
    </row>
    <row r="23" spans="2:19" x14ac:dyDescent="0.3">
      <c r="B23" s="5"/>
      <c r="C23" s="61" t="s">
        <v>29</v>
      </c>
      <c r="D23" s="242" t="s">
        <v>30</v>
      </c>
      <c r="E23" s="242"/>
      <c r="F23" s="232"/>
      <c r="G23" s="232"/>
      <c r="H23" s="232"/>
      <c r="I23" s="232"/>
      <c r="J23" s="232"/>
      <c r="K23" s="232"/>
      <c r="L23" s="27"/>
      <c r="M23" s="6"/>
    </row>
    <row r="24" spans="2:19" x14ac:dyDescent="0.3">
      <c r="B24" s="5"/>
      <c r="C24" s="44"/>
      <c r="D24" s="44"/>
      <c r="E24" s="44"/>
      <c r="F24" s="180"/>
      <c r="G24" s="180"/>
      <c r="H24" s="180"/>
      <c r="I24" s="178"/>
      <c r="J24" s="179"/>
      <c r="L24" s="27"/>
      <c r="M24" s="6"/>
    </row>
    <row r="25" spans="2:19" ht="14.45" customHeight="1" x14ac:dyDescent="0.3">
      <c r="B25" s="5"/>
      <c r="C25" s="44"/>
      <c r="D25" s="259"/>
      <c r="E25" s="259"/>
      <c r="F25" s="259"/>
      <c r="G25" s="259"/>
      <c r="H25" s="259"/>
      <c r="I25" s="259"/>
      <c r="J25" s="259"/>
      <c r="K25" s="259"/>
      <c r="L25" s="27"/>
      <c r="M25" s="6"/>
    </row>
    <row r="26" spans="2:19" x14ac:dyDescent="0.3">
      <c r="B26" s="5"/>
      <c r="C26" s="44"/>
      <c r="D26" s="44"/>
      <c r="E26" s="44"/>
      <c r="F26" s="27"/>
      <c r="G26" s="27"/>
      <c r="H26" s="27"/>
      <c r="I26" s="27"/>
      <c r="J26" s="27"/>
      <c r="K26" s="27"/>
      <c r="L26" s="27"/>
      <c r="M26" s="6"/>
    </row>
    <row r="27" spans="2:19" ht="15.75" customHeight="1" x14ac:dyDescent="0.3">
      <c r="B27" s="5"/>
      <c r="C27" s="37" t="s">
        <v>31</v>
      </c>
      <c r="D27" s="242" t="s">
        <v>32</v>
      </c>
      <c r="E27" s="230"/>
      <c r="F27" s="43"/>
      <c r="G27" s="27" t="s">
        <v>33</v>
      </c>
      <c r="H27" s="242" t="s">
        <v>34</v>
      </c>
      <c r="I27" s="242"/>
      <c r="J27" s="230"/>
      <c r="K27" s="41"/>
      <c r="L27" s="27" t="s">
        <v>35</v>
      </c>
      <c r="M27" s="6"/>
    </row>
    <row r="28" spans="2:19" ht="13.9" customHeight="1" x14ac:dyDescent="0.3">
      <c r="B28" s="5"/>
      <c r="C28" s="61" t="s">
        <v>36</v>
      </c>
      <c r="D28" s="44"/>
      <c r="E28" s="44"/>
      <c r="F28" s="27"/>
      <c r="G28" s="27"/>
      <c r="H28" s="27"/>
      <c r="I28" s="27"/>
      <c r="J28" s="27"/>
      <c r="K28" s="27"/>
      <c r="L28" s="27"/>
      <c r="M28" s="6"/>
    </row>
    <row r="29" spans="2:19" ht="15.75" customHeight="1" x14ac:dyDescent="0.3">
      <c r="B29" s="5"/>
      <c r="C29" s="27"/>
      <c r="D29" s="242" t="s">
        <v>37</v>
      </c>
      <c r="E29" s="230"/>
      <c r="F29" s="177"/>
      <c r="G29" s="27" t="s">
        <v>38</v>
      </c>
      <c r="H29" s="242" t="s">
        <v>39</v>
      </c>
      <c r="I29" s="242"/>
      <c r="J29" s="230"/>
      <c r="K29" s="41"/>
      <c r="L29" s="27" t="s">
        <v>40</v>
      </c>
      <c r="M29" s="6"/>
    </row>
    <row r="30" spans="2:19" ht="15.75" customHeight="1" x14ac:dyDescent="0.3">
      <c r="B30" s="5"/>
      <c r="C30" s="27"/>
      <c r="D30" s="242" t="s">
        <v>41</v>
      </c>
      <c r="E30" s="230"/>
      <c r="F30" s="177"/>
      <c r="G30" s="27" t="s">
        <v>38</v>
      </c>
      <c r="H30" s="44"/>
      <c r="I30" s="44"/>
      <c r="J30" s="44"/>
      <c r="K30" s="178"/>
      <c r="L30" s="27"/>
      <c r="M30" s="6"/>
    </row>
    <row r="31" spans="2:19" ht="19.5" thickBot="1" x14ac:dyDescent="0.35">
      <c r="B31" s="7"/>
      <c r="C31" s="9"/>
      <c r="D31" s="9"/>
      <c r="E31" s="9"/>
      <c r="F31" s="13"/>
      <c r="G31" s="9"/>
      <c r="H31" s="9"/>
      <c r="I31" s="13"/>
      <c r="J31" s="13"/>
      <c r="K31" s="13"/>
      <c r="L31" s="9"/>
      <c r="M31" s="10"/>
    </row>
    <row r="32" spans="2:19" ht="19.5" thickBot="1" x14ac:dyDescent="0.35">
      <c r="F32" s="12"/>
      <c r="I32" s="12"/>
      <c r="J32" s="12"/>
      <c r="K32" s="12"/>
    </row>
    <row r="33" spans="1:15" ht="50.1" customHeight="1" x14ac:dyDescent="0.3">
      <c r="A33" s="63" t="s">
        <v>42</v>
      </c>
      <c r="B33" s="29"/>
      <c r="C33" s="166" t="s">
        <v>43</v>
      </c>
      <c r="D33" s="14"/>
      <c r="E33" s="16"/>
      <c r="F33" s="161"/>
      <c r="G33" s="247" t="s">
        <v>44</v>
      </c>
      <c r="H33" s="249"/>
      <c r="I33" s="16"/>
      <c r="J33" s="161"/>
      <c r="K33" s="247" t="s">
        <v>45</v>
      </c>
      <c r="L33" s="248"/>
      <c r="M33" s="15"/>
    </row>
    <row r="34" spans="1:15" x14ac:dyDescent="0.3">
      <c r="B34" s="5"/>
      <c r="C34" s="28"/>
      <c r="E34" s="28"/>
      <c r="F34" s="5"/>
      <c r="J34" s="5"/>
      <c r="M34" s="6"/>
    </row>
    <row r="35" spans="1:15" x14ac:dyDescent="0.3">
      <c r="B35" s="5"/>
      <c r="C35" s="44" t="s">
        <v>46</v>
      </c>
      <c r="D35" s="40">
        <f>_xlfn.LET(_xlpm.units,K16,_xlpm.site,F27,_xlpm.u_min,'Officer Sheet'!N8,_xlpm.u_mid,'Officer Sheet'!N9,_xlpm.site_thr,'Officer Sheet'!N10,_xlpm.rate_low,'Officer Sheet'!N11,_xlpm.rate_high,'Officer Sheet'!N12,_xlpm.student,F18,_xlpm.s_min,'Officer Sheet'!N15,_xlpm.s_mid,'Officer Sheet'!N16,_xlpm.s_div,'Officer Sheet'!N14,_xlpm.main_calc,IF(_xlpm.units&lt;='Officer Sheet'!N7,0,IF(OR(_xlpm.site="",_xlpm.site=0),IF(_xlpm.units&lt;_xlpm.u_min,0,IF(_xlpm.units&lt;=_xlpm.u_mid,_xlpm.units*_xlpm.rate_low,_xlpm.units*_xlpm.rate_high)),IF(_xlpm.site&lt;=_xlpm.site_thr,IF(_xlpm.units&lt;_xlpm.u_min,0,IF(_xlpm.units&lt;=_xlpm.u_mid,_xlpm.units*_xlpm.rate_low,_xlpm.units*_xlpm.rate_high)),IF(_xlpm.units&lt;_xlpm.u_min,0,_xlpm.units*_xlpm.rate_high)))),_xlpm.student_calc,IF(_xlpm.student&lt;_xlpm.s_min,0,IF(_xlpm.student&lt;_xlpm.s_mid,_xlpm.student/_xlpm.s_div*_xlpm.rate_low,_xlpm.student/_xlpm.s_div*_xlpm.rate_high)),_xlpm.main_calc+_xlpm.student_calc)</f>
        <v>0</v>
      </c>
      <c r="E35" s="27" t="s">
        <v>40</v>
      </c>
      <c r="F35" s="235" t="s">
        <v>47</v>
      </c>
      <c r="G35" s="242"/>
      <c r="H35" s="46">
        <f>('Officer Sheet'!E16*'Officer Sheet'!E11)*('Officer Sheet'!E6&gt;='Officer Sheet'!E20)</f>
        <v>0</v>
      </c>
      <c r="I35" s="163"/>
      <c r="J35" s="235" t="s">
        <v>48</v>
      </c>
      <c r="K35" s="230"/>
      <c r="L35" s="47">
        <f>IF(F29+F30 &lt; 'Officer Sheet'!N20, 0, 'Officer Sheet'!R71)</f>
        <v>0</v>
      </c>
      <c r="M35" s="6"/>
      <c r="O35" s="182"/>
    </row>
    <row r="36" spans="1:15" ht="15.6" customHeight="1" x14ac:dyDescent="0.3">
      <c r="B36" s="5"/>
      <c r="C36" s="48" t="s">
        <v>49</v>
      </c>
      <c r="D36" s="40">
        <f>MAX(D35-K29, 0)</f>
        <v>0</v>
      </c>
      <c r="E36" s="27" t="s">
        <v>40</v>
      </c>
      <c r="F36" s="235" t="s">
        <v>50</v>
      </c>
      <c r="G36" s="242"/>
      <c r="H36" s="49">
        <f>(H35*'Officer Sheet'!E14)*('Officer Sheet'!E6&gt;='Officer Sheet'!E20)</f>
        <v>0</v>
      </c>
      <c r="I36" s="164"/>
      <c r="J36" s="243" t="s">
        <v>51</v>
      </c>
      <c r="K36" s="244"/>
      <c r="L36" s="244"/>
      <c r="M36" s="6"/>
    </row>
    <row r="37" spans="1:15" x14ac:dyDescent="0.3">
      <c r="B37" s="5"/>
      <c r="C37" s="37" t="s">
        <v>52</v>
      </c>
      <c r="D37" s="50">
        <f>D36*'Officer Sheet'!N5</f>
        <v>0</v>
      </c>
      <c r="E37" s="27"/>
      <c r="F37" s="235" t="s">
        <v>53</v>
      </c>
      <c r="G37" s="242"/>
      <c r="H37" s="210">
        <f>(SUM(H35:H36))*('Officer Sheet'!E6&gt;='Officer Sheet'!E20)</f>
        <v>0</v>
      </c>
      <c r="I37" s="164"/>
      <c r="J37" s="45"/>
      <c r="K37" s="44"/>
      <c r="L37" s="44"/>
      <c r="M37" s="6"/>
    </row>
    <row r="38" spans="1:15" ht="19.5" thickBot="1" x14ac:dyDescent="0.35">
      <c r="B38" s="7"/>
      <c r="C38" s="51"/>
      <c r="D38" s="51"/>
      <c r="E38" s="51"/>
      <c r="F38" s="45"/>
      <c r="G38" s="44"/>
      <c r="H38" s="27"/>
      <c r="I38" s="27"/>
      <c r="J38" s="235" t="s">
        <v>48</v>
      </c>
      <c r="K38" s="230"/>
      <c r="L38" s="47">
        <f>IF(F29+F30 &lt; 'Officer Sheet'!N20, 0, 'Officer Sheet'!P70)</f>
        <v>0</v>
      </c>
      <c r="M38" s="6"/>
    </row>
    <row r="39" spans="1:15" ht="43.5" customHeight="1" x14ac:dyDescent="0.3">
      <c r="B39" s="29"/>
      <c r="C39" s="247" t="s">
        <v>54</v>
      </c>
      <c r="D39" s="250"/>
      <c r="E39" s="52"/>
      <c r="F39" s="235"/>
      <c r="G39" s="242"/>
      <c r="H39" s="57"/>
      <c r="I39" s="57"/>
      <c r="J39" s="245" t="s">
        <v>55</v>
      </c>
      <c r="K39" s="246"/>
      <c r="L39" s="246"/>
      <c r="M39" s="6"/>
    </row>
    <row r="40" spans="1:15" x14ac:dyDescent="0.3">
      <c r="B40" s="5"/>
      <c r="C40" s="23"/>
      <c r="D40" s="18"/>
      <c r="E40" s="27"/>
      <c r="F40" s="235" t="s">
        <v>56</v>
      </c>
      <c r="G40" s="242"/>
      <c r="H40" s="46">
        <f>('Officer Sheet'!E17*'Officer Sheet'!F11)*('Officer Sheet'!E6&gt;='Officer Sheet'!E20)</f>
        <v>0</v>
      </c>
      <c r="I40" s="57"/>
      <c r="J40" s="162"/>
      <c r="K40" s="61"/>
      <c r="L40" s="61"/>
      <c r="M40" s="6"/>
    </row>
    <row r="41" spans="1:15" x14ac:dyDescent="0.3">
      <c r="B41" s="5"/>
      <c r="C41" s="27"/>
      <c r="D41" s="27"/>
      <c r="E41" s="27"/>
      <c r="F41" s="235" t="s">
        <v>57</v>
      </c>
      <c r="G41" s="242"/>
      <c r="H41" s="49">
        <f>(H40*'Officer Sheet'!F14)*('Officer Sheet'!E6&gt;='Officer Sheet'!E20)</f>
        <v>0</v>
      </c>
      <c r="I41" s="57"/>
      <c r="J41" s="45"/>
      <c r="K41" s="44"/>
      <c r="L41" s="44"/>
      <c r="M41" s="6"/>
    </row>
    <row r="42" spans="1:15" x14ac:dyDescent="0.3">
      <c r="B42" s="5"/>
      <c r="C42" s="44" t="s">
        <v>58</v>
      </c>
      <c r="D42" s="53">
        <f ca="1">IF(K16&lt;='Officer Sheet'!E49,0,'Officer Sheet'!G32*'Officer Sheet'!E44)+IF('Officer Sheet'!E42&gt;='Officer Sheet'!E48,'Officer Sheet'!E55*'Officer Sheet'!F42,0)+IF(F18&lt;'Officer Sheet'!E50, 0, F18*'Officer Sheet'!E44)</f>
        <v>0</v>
      </c>
      <c r="E42" s="27" t="s">
        <v>35</v>
      </c>
      <c r="F42" s="235" t="s">
        <v>59</v>
      </c>
      <c r="G42" s="242"/>
      <c r="H42" s="210">
        <f>(SUM(H39:H41))*('Officer Sheet'!E6&gt;='Officer Sheet'!E20)</f>
        <v>0</v>
      </c>
      <c r="I42" s="57"/>
      <c r="J42" s="238" t="s">
        <v>60</v>
      </c>
      <c r="K42" s="239"/>
      <c r="L42" s="54">
        <f>SUM(L35,L38)</f>
        <v>0</v>
      </c>
      <c r="M42" s="6"/>
    </row>
    <row r="43" spans="1:15" x14ac:dyDescent="0.3">
      <c r="B43" s="5"/>
      <c r="C43" s="44" t="s">
        <v>61</v>
      </c>
      <c r="D43" s="55">
        <f ca="1">MAX(D42-K27,0)</f>
        <v>0</v>
      </c>
      <c r="E43" s="27" t="s">
        <v>35</v>
      </c>
      <c r="F43" s="45"/>
      <c r="G43" s="56"/>
      <c r="H43" s="27"/>
      <c r="I43" s="27"/>
      <c r="J43" s="240"/>
      <c r="K43" s="241"/>
      <c r="L43" s="27"/>
      <c r="M43" s="6"/>
    </row>
    <row r="44" spans="1:15" x14ac:dyDescent="0.3">
      <c r="B44" s="5"/>
      <c r="C44" s="37" t="s">
        <v>62</v>
      </c>
      <c r="D44" s="50">
        <f ca="1">D43*'Officer Sheet'!E46</f>
        <v>0</v>
      </c>
      <c r="E44" s="27"/>
      <c r="F44" s="235" t="s">
        <v>63</v>
      </c>
      <c r="G44" s="242"/>
      <c r="H44" s="46">
        <f>('Officer Sheet'!E18*'Officer Sheet'!G11)*('Officer Sheet'!E6&gt;='Officer Sheet'!E20)</f>
        <v>0</v>
      </c>
      <c r="I44" s="57"/>
      <c r="J44" s="165"/>
      <c r="K44" s="27"/>
      <c r="L44" s="27"/>
      <c r="M44" s="6"/>
    </row>
    <row r="45" spans="1:15" x14ac:dyDescent="0.3">
      <c r="B45" s="5"/>
      <c r="C45" s="27"/>
      <c r="D45" s="27"/>
      <c r="E45" s="27"/>
      <c r="F45" s="235" t="s">
        <v>64</v>
      </c>
      <c r="G45" s="242"/>
      <c r="H45" s="49">
        <f>(H44*'Officer Sheet'!G14)*('Officer Sheet'!E6&gt;='Officer Sheet'!E20)</f>
        <v>0</v>
      </c>
      <c r="I45" s="57"/>
      <c r="J45" s="165"/>
      <c r="K45" s="27"/>
      <c r="L45" s="27"/>
      <c r="M45" s="6"/>
    </row>
    <row r="46" spans="1:15" x14ac:dyDescent="0.3">
      <c r="B46" s="5"/>
      <c r="C46" s="27"/>
      <c r="D46" s="27"/>
      <c r="E46" s="27"/>
      <c r="F46" s="235" t="s">
        <v>65</v>
      </c>
      <c r="G46" s="242"/>
      <c r="H46" s="210">
        <f>(SUM(H44:H45))*('Officer Sheet'!E6&gt;='Officer Sheet'!E20)</f>
        <v>0</v>
      </c>
      <c r="I46" s="57"/>
      <c r="J46" s="165"/>
      <c r="K46" s="27"/>
      <c r="L46" s="27"/>
      <c r="M46" s="6"/>
    </row>
    <row r="47" spans="1:15" x14ac:dyDescent="0.3">
      <c r="B47" s="5"/>
      <c r="C47" s="27"/>
      <c r="D47" s="27"/>
      <c r="E47" s="27"/>
      <c r="F47" s="45"/>
      <c r="G47" s="44"/>
      <c r="H47" s="57"/>
      <c r="I47" s="57"/>
      <c r="J47" s="165"/>
      <c r="K47" s="27"/>
      <c r="L47" s="27"/>
      <c r="M47" s="6"/>
    </row>
    <row r="48" spans="1:15" x14ac:dyDescent="0.3">
      <c r="B48" s="5"/>
      <c r="C48" s="27"/>
      <c r="D48" s="27"/>
      <c r="E48" s="27"/>
      <c r="F48" s="257" t="s">
        <v>66</v>
      </c>
      <c r="G48" s="258"/>
      <c r="H48" s="54">
        <f>SUM(H37,H42,H46)</f>
        <v>0</v>
      </c>
      <c r="I48" s="57"/>
      <c r="J48" s="165"/>
      <c r="K48" s="27"/>
      <c r="L48" s="27"/>
      <c r="M48" s="6"/>
    </row>
    <row r="49" spans="1:13" ht="19.5" thickBot="1" x14ac:dyDescent="0.35">
      <c r="B49" s="7"/>
      <c r="C49" s="9"/>
      <c r="D49" s="9"/>
      <c r="E49" s="9"/>
      <c r="F49" s="7"/>
      <c r="G49" s="9"/>
      <c r="H49" s="9"/>
      <c r="I49" s="9"/>
      <c r="J49" s="7"/>
      <c r="K49" s="9"/>
      <c r="L49" s="9"/>
      <c r="M49" s="10"/>
    </row>
    <row r="51" spans="1:13" ht="19.5" thickBot="1" x14ac:dyDescent="0.35">
      <c r="A51" s="63"/>
    </row>
    <row r="52" spans="1:13" x14ac:dyDescent="0.3">
      <c r="A52" s="63" t="s">
        <v>67</v>
      </c>
      <c r="B52" s="2"/>
      <c r="C52" s="3"/>
      <c r="D52" s="3"/>
      <c r="E52" s="3"/>
      <c r="F52" s="17"/>
      <c r="G52" s="3"/>
      <c r="H52" s="3"/>
      <c r="I52" s="3"/>
      <c r="J52" s="3"/>
      <c r="K52" s="3"/>
      <c r="L52" s="3"/>
      <c r="M52" s="4"/>
    </row>
    <row r="53" spans="1:13" x14ac:dyDescent="0.3">
      <c r="A53" s="63"/>
      <c r="B53" s="5"/>
      <c r="C53" s="229" t="s">
        <v>68</v>
      </c>
      <c r="D53" s="230"/>
      <c r="E53" s="65">
        <f ca="1">SUM(D37,D44,H48,L42)</f>
        <v>0</v>
      </c>
      <c r="F53" s="233" t="s">
        <v>69</v>
      </c>
      <c r="G53" s="234"/>
      <c r="H53" s="234"/>
      <c r="I53" s="234"/>
      <c r="J53" s="232"/>
      <c r="K53" s="232"/>
      <c r="M53" s="6"/>
    </row>
    <row r="54" spans="1:13" x14ac:dyDescent="0.3">
      <c r="B54" s="5"/>
      <c r="C54" s="19"/>
      <c r="D54" s="22"/>
      <c r="E54" s="24"/>
      <c r="F54" s="23"/>
      <c r="G54" s="18"/>
      <c r="H54" s="18"/>
      <c r="I54" s="18"/>
      <c r="M54" s="6"/>
    </row>
    <row r="55" spans="1:13" x14ac:dyDescent="0.3">
      <c r="B55" s="5"/>
      <c r="C55" s="37"/>
      <c r="D55" s="37" t="s">
        <v>70</v>
      </c>
      <c r="E55" s="38">
        <f ca="1">MIN('Officer Sheet'!E64,('Officer Sheet'!G63*'Inputs and Outputs'!E53))</f>
        <v>0</v>
      </c>
      <c r="F55" s="231" t="s">
        <v>71</v>
      </c>
      <c r="G55" s="232"/>
      <c r="H55" s="232"/>
      <c r="I55" s="232"/>
      <c r="J55" s="232"/>
      <c r="M55" s="6"/>
    </row>
    <row r="56" spans="1:13" ht="28.9" customHeight="1" thickBot="1" x14ac:dyDescent="0.35">
      <c r="B56" s="7"/>
      <c r="C56" s="9"/>
      <c r="D56" s="9"/>
      <c r="E56" s="9"/>
      <c r="F56" s="9"/>
      <c r="G56" s="9"/>
      <c r="H56" s="9"/>
      <c r="I56" s="9"/>
      <c r="J56" s="9"/>
      <c r="K56" s="9"/>
      <c r="L56" s="9"/>
      <c r="M56" s="10"/>
    </row>
    <row r="58" spans="1:13" ht="18.600000000000001" customHeight="1" x14ac:dyDescent="0.25">
      <c r="A58" s="253" t="s">
        <v>72</v>
      </c>
      <c r="B58" s="30"/>
      <c r="C58" s="236" t="s">
        <v>73</v>
      </c>
      <c r="D58" s="227"/>
      <c r="E58" s="30"/>
      <c r="F58" s="237" t="s">
        <v>74</v>
      </c>
      <c r="G58" s="220"/>
      <c r="H58" s="220"/>
      <c r="I58" s="30"/>
      <c r="J58" s="227" t="s">
        <v>75</v>
      </c>
      <c r="K58" s="226"/>
      <c r="L58" s="226"/>
      <c r="M58" s="226"/>
    </row>
    <row r="59" spans="1:13" ht="12.6" customHeight="1" x14ac:dyDescent="0.25">
      <c r="A59" s="232"/>
      <c r="B59" s="30"/>
      <c r="C59" s="227"/>
      <c r="D59" s="227"/>
      <c r="E59" s="30"/>
      <c r="F59" s="28"/>
      <c r="I59" s="30"/>
      <c r="J59" s="226"/>
      <c r="K59" s="226"/>
      <c r="L59" s="226"/>
      <c r="M59" s="226"/>
    </row>
    <row r="60" spans="1:13" ht="13.5" x14ac:dyDescent="0.25">
      <c r="A60" s="232"/>
      <c r="B60" s="30"/>
      <c r="C60" s="227"/>
      <c r="D60" s="227"/>
      <c r="E60" s="30"/>
      <c r="F60" s="220" t="s">
        <v>76</v>
      </c>
      <c r="G60" s="220"/>
      <c r="H60" s="220"/>
      <c r="I60" s="30"/>
      <c r="J60" s="226"/>
      <c r="K60" s="226"/>
      <c r="L60" s="226"/>
      <c r="M60" s="226"/>
    </row>
    <row r="61" spans="1:13" x14ac:dyDescent="0.3">
      <c r="B61" s="30"/>
      <c r="C61" s="228"/>
      <c r="D61" s="228"/>
      <c r="E61" s="30"/>
      <c r="F61" s="167">
        <f>'Officer Sheet'!E16</f>
        <v>0</v>
      </c>
      <c r="G61" s="226" t="s">
        <v>77</v>
      </c>
      <c r="H61" s="226"/>
      <c r="I61" s="30"/>
      <c r="J61" s="226"/>
      <c r="K61" s="226"/>
      <c r="L61" s="226"/>
      <c r="M61" s="226"/>
    </row>
    <row r="62" spans="1:13" x14ac:dyDescent="0.3">
      <c r="B62" s="30"/>
      <c r="C62" s="228"/>
      <c r="D62" s="228"/>
      <c r="E62" s="30"/>
      <c r="F62" s="167">
        <f>'Officer Sheet'!E17</f>
        <v>0</v>
      </c>
      <c r="G62" s="226" t="s">
        <v>78</v>
      </c>
      <c r="H62" s="226"/>
      <c r="I62" s="30"/>
      <c r="J62" s="226"/>
      <c r="K62" s="226"/>
      <c r="L62" s="226"/>
      <c r="M62" s="226"/>
    </row>
    <row r="63" spans="1:13" x14ac:dyDescent="0.3">
      <c r="B63" s="30"/>
      <c r="C63" s="228"/>
      <c r="D63" s="228"/>
      <c r="E63" s="30"/>
      <c r="F63" s="167">
        <f>'Officer Sheet'!E18</f>
        <v>0</v>
      </c>
      <c r="G63" s="226" t="s">
        <v>79</v>
      </c>
      <c r="H63" s="226"/>
      <c r="I63" s="30"/>
      <c r="J63" s="226"/>
      <c r="K63" s="226"/>
      <c r="L63" s="226"/>
      <c r="M63" s="226"/>
    </row>
    <row r="64" spans="1:13" x14ac:dyDescent="0.3">
      <c r="B64" s="30"/>
      <c r="C64" s="228"/>
      <c r="D64" s="228"/>
      <c r="E64" s="30"/>
      <c r="F64" s="31"/>
      <c r="G64" s="32"/>
      <c r="H64" s="32"/>
      <c r="I64" s="30"/>
      <c r="J64" s="226"/>
      <c r="K64" s="226"/>
      <c r="L64" s="226"/>
      <c r="M64" s="226"/>
    </row>
    <row r="65" spans="2:13" x14ac:dyDescent="0.3">
      <c r="B65" s="30"/>
      <c r="C65" s="228"/>
      <c r="D65" s="228"/>
      <c r="E65" s="30"/>
      <c r="F65" s="220" t="s">
        <v>80</v>
      </c>
      <c r="G65" s="226"/>
      <c r="H65" s="226"/>
      <c r="I65" s="30"/>
      <c r="J65" s="226"/>
      <c r="K65" s="226"/>
      <c r="L65" s="226"/>
      <c r="M65" s="226"/>
    </row>
    <row r="66" spans="2:13" x14ac:dyDescent="0.3">
      <c r="B66" s="30"/>
      <c r="C66" s="30"/>
      <c r="D66" s="30"/>
      <c r="E66" s="30"/>
      <c r="F66" s="226"/>
      <c r="G66" s="226"/>
      <c r="H66" s="226"/>
      <c r="I66" s="30"/>
      <c r="J66" s="226"/>
      <c r="K66" s="226"/>
      <c r="L66" s="226"/>
      <c r="M66" s="226"/>
    </row>
    <row r="67" spans="2:13" ht="15.6" customHeight="1" x14ac:dyDescent="0.3">
      <c r="B67" s="34"/>
      <c r="C67" s="220" t="s">
        <v>81</v>
      </c>
      <c r="D67" s="226"/>
      <c r="E67" s="30"/>
      <c r="F67" s="226"/>
      <c r="G67" s="226"/>
      <c r="H67" s="226"/>
      <c r="I67" s="30"/>
      <c r="J67" s="226"/>
      <c r="K67" s="226"/>
      <c r="L67" s="226"/>
      <c r="M67" s="226"/>
    </row>
    <row r="68" spans="2:13" ht="14.45" customHeight="1" x14ac:dyDescent="0.3">
      <c r="B68" s="35"/>
      <c r="C68" s="226"/>
      <c r="D68" s="226"/>
      <c r="E68" s="30"/>
      <c r="F68" s="226"/>
      <c r="G68" s="226"/>
      <c r="H68" s="226"/>
      <c r="I68" s="30"/>
      <c r="J68" s="226"/>
      <c r="K68" s="226"/>
      <c r="L68" s="226"/>
      <c r="M68" s="226"/>
    </row>
    <row r="69" spans="2:13" ht="14.45" customHeight="1" x14ac:dyDescent="0.3">
      <c r="B69" s="35"/>
      <c r="C69" s="226"/>
      <c r="D69" s="226"/>
      <c r="E69" s="30"/>
      <c r="F69" s="228"/>
      <c r="G69" s="228"/>
      <c r="H69" s="228"/>
      <c r="I69" s="30"/>
      <c r="J69" s="27"/>
      <c r="K69" s="27"/>
      <c r="L69" s="27"/>
    </row>
    <row r="70" spans="2:13" ht="14.45" customHeight="1" x14ac:dyDescent="0.3">
      <c r="B70" s="35"/>
      <c r="C70" s="226"/>
      <c r="D70" s="226"/>
      <c r="E70" s="30"/>
      <c r="F70" s="228"/>
      <c r="G70" s="228"/>
      <c r="H70" s="228"/>
      <c r="I70" s="30"/>
      <c r="J70" s="222" t="s">
        <v>82</v>
      </c>
      <c r="K70" s="223"/>
      <c r="L70" s="223"/>
      <c r="M70" s="224"/>
    </row>
    <row r="71" spans="2:13" ht="14.45" customHeight="1" x14ac:dyDescent="0.3">
      <c r="B71" s="35"/>
      <c r="C71" s="30"/>
      <c r="D71" s="30"/>
      <c r="E71" s="30"/>
      <c r="F71" s="228"/>
      <c r="G71" s="228"/>
      <c r="H71" s="228"/>
      <c r="I71" s="30"/>
      <c r="J71" s="225" t="s">
        <v>83</v>
      </c>
      <c r="K71" s="225"/>
      <c r="L71" s="225"/>
      <c r="M71" s="225"/>
    </row>
    <row r="72" spans="2:13" x14ac:dyDescent="0.3">
      <c r="B72" s="35"/>
      <c r="C72" s="220" t="s">
        <v>84</v>
      </c>
      <c r="D72" s="221"/>
      <c r="E72" s="30"/>
      <c r="F72" s="228"/>
      <c r="G72" s="228"/>
      <c r="H72" s="228"/>
      <c r="I72" s="30"/>
      <c r="J72" s="225" t="s">
        <v>85</v>
      </c>
      <c r="K72" s="225"/>
      <c r="L72" s="224"/>
      <c r="M72" s="224"/>
    </row>
    <row r="73" spans="2:13" ht="14.45" customHeight="1" x14ac:dyDescent="0.3">
      <c r="B73" s="36"/>
      <c r="C73" s="221"/>
      <c r="D73" s="221"/>
      <c r="F73" s="30"/>
      <c r="G73" s="30"/>
      <c r="H73" s="30"/>
      <c r="J73" s="30"/>
      <c r="K73" s="30"/>
      <c r="L73" s="33"/>
    </row>
    <row r="74" spans="2:13" ht="12" customHeight="1" x14ac:dyDescent="0.3">
      <c r="B74" s="36"/>
      <c r="C74" s="221"/>
      <c r="D74" s="221"/>
      <c r="E74" s="21"/>
      <c r="F74" s="207"/>
      <c r="G74" s="207"/>
      <c r="H74" s="209"/>
      <c r="J74" s="30"/>
      <c r="K74" s="30"/>
      <c r="L74" s="33"/>
    </row>
    <row r="75" spans="2:13" x14ac:dyDescent="0.3">
      <c r="B75" s="36"/>
      <c r="C75" s="221"/>
      <c r="D75" s="221"/>
      <c r="F75" s="207"/>
      <c r="G75" s="207"/>
      <c r="H75" s="209"/>
      <c r="J75" s="30"/>
      <c r="K75" s="30"/>
      <c r="L75" s="33"/>
    </row>
    <row r="76" spans="2:13" x14ac:dyDescent="0.3">
      <c r="B76" s="36"/>
      <c r="C76" s="221"/>
      <c r="D76" s="221"/>
      <c r="F76" s="207"/>
      <c r="G76" s="207"/>
      <c r="H76" s="209"/>
      <c r="J76" s="30"/>
      <c r="K76" s="30"/>
      <c r="L76" s="30"/>
    </row>
    <row r="77" spans="2:13" x14ac:dyDescent="0.3">
      <c r="B77" s="36"/>
      <c r="C77" s="221"/>
      <c r="D77" s="221"/>
      <c r="F77" s="207"/>
      <c r="G77" s="207"/>
      <c r="H77" s="209"/>
      <c r="J77" s="30"/>
      <c r="K77" s="30"/>
      <c r="L77" s="30"/>
    </row>
    <row r="78" spans="2:13" x14ac:dyDescent="0.3">
      <c r="C78" s="221"/>
      <c r="D78" s="221"/>
      <c r="J78" s="30"/>
      <c r="K78" s="30"/>
      <c r="L78" s="30"/>
    </row>
    <row r="79" spans="2:13" x14ac:dyDescent="0.3">
      <c r="C79" s="207"/>
      <c r="D79"/>
    </row>
    <row r="80" spans="2:13" x14ac:dyDescent="0.3">
      <c r="C80" s="220" t="s">
        <v>235</v>
      </c>
      <c r="D80" s="221"/>
    </row>
    <row r="81" spans="3:4" x14ac:dyDescent="0.3">
      <c r="C81" s="221"/>
      <c r="D81" s="221"/>
    </row>
    <row r="82" spans="3:4" x14ac:dyDescent="0.3">
      <c r="C82" s="221"/>
      <c r="D82" s="221"/>
    </row>
    <row r="83" spans="3:4" x14ac:dyDescent="0.3">
      <c r="C83" s="221"/>
      <c r="D83" s="221"/>
    </row>
  </sheetData>
  <sheetProtection algorithmName="SHA-512" hashValue="1R0PlSRhdSlkLKl+jVHwV4MRk6GyT9PWTvY2YWfHqBYytRkvS7oPlSxX4GGr2XvySUYoXK6LvpxFvFC+uER7kw==" saltValue="eXzwPZxxM/un6IDJGZU5/g==" spinCount="100000" sheet="1" objects="1" scenarios="1"/>
  <sortState xmlns:xlrd2="http://schemas.microsoft.com/office/spreadsheetml/2017/richdata2" ref="B68:D72">
    <sortCondition ref="B68:B72"/>
  </sortState>
  <mergeCells count="57">
    <mergeCell ref="A58:A60"/>
    <mergeCell ref="P3:T3"/>
    <mergeCell ref="P4:T4"/>
    <mergeCell ref="O2:S2"/>
    <mergeCell ref="F48:G48"/>
    <mergeCell ref="E19:K19"/>
    <mergeCell ref="I21:K21"/>
    <mergeCell ref="F44:G44"/>
    <mergeCell ref="D25:K25"/>
    <mergeCell ref="D27:E27"/>
    <mergeCell ref="D5:K6"/>
    <mergeCell ref="D3:G3"/>
    <mergeCell ref="H3:J3"/>
    <mergeCell ref="E9:K9"/>
    <mergeCell ref="D18:E18"/>
    <mergeCell ref="J22:K22"/>
    <mergeCell ref="D30:E30"/>
    <mergeCell ref="D22:E22"/>
    <mergeCell ref="F22:H22"/>
    <mergeCell ref="D23:K23"/>
    <mergeCell ref="H29:J29"/>
    <mergeCell ref="H27:J27"/>
    <mergeCell ref="D29:E29"/>
    <mergeCell ref="J39:L39"/>
    <mergeCell ref="J38:K38"/>
    <mergeCell ref="K33:L33"/>
    <mergeCell ref="G33:H33"/>
    <mergeCell ref="C39:D39"/>
    <mergeCell ref="F37:G37"/>
    <mergeCell ref="F39:G39"/>
    <mergeCell ref="F35:G35"/>
    <mergeCell ref="F36:G36"/>
    <mergeCell ref="C53:D53"/>
    <mergeCell ref="F55:J55"/>
    <mergeCell ref="F53:K53"/>
    <mergeCell ref="J35:K35"/>
    <mergeCell ref="C58:D65"/>
    <mergeCell ref="G63:H63"/>
    <mergeCell ref="F58:H58"/>
    <mergeCell ref="J42:K43"/>
    <mergeCell ref="F42:G42"/>
    <mergeCell ref="F45:G45"/>
    <mergeCell ref="F46:G46"/>
    <mergeCell ref="G61:H61"/>
    <mergeCell ref="F41:G41"/>
    <mergeCell ref="F60:H60"/>
    <mergeCell ref="F40:G40"/>
    <mergeCell ref="J36:L36"/>
    <mergeCell ref="C72:D78"/>
    <mergeCell ref="C80:D83"/>
    <mergeCell ref="J70:M70"/>
    <mergeCell ref="J71:M71"/>
    <mergeCell ref="J72:M72"/>
    <mergeCell ref="C67:D70"/>
    <mergeCell ref="J58:M68"/>
    <mergeCell ref="G62:H62"/>
    <mergeCell ref="F65:H72"/>
  </mergeCells>
  <dataValidations count="2">
    <dataValidation type="whole" operator="greaterThan" allowBlank="1" showInputMessage="1" showErrorMessage="1" sqref="K29:K30 F18 E14:J15 I22 I24" xr:uid="{AC4E7033-235B-4A44-9B7E-0E8EEE201F4D}">
      <formula1>0</formula1>
    </dataValidation>
    <dataValidation type="decimal" operator="greaterThan" allowBlank="1" showInputMessage="1" showErrorMessage="1" sqref="F27 K27 F29:F30" xr:uid="{1B47A8D9-3FA9-4739-9081-BCF339ED9C03}">
      <formula1>0</formula1>
    </dataValidation>
  </dataValidations>
  <hyperlinks>
    <hyperlink ref="J71:K71" r:id="rId1" display="Adopted Local Plan" xr:uid="{25EF8962-5BF0-4B89-8BAC-32818DE2D079}"/>
    <hyperlink ref="J72:K72" r:id="rId2" display="S106 webpage and SPDs relating to planning obligations" xr:uid="{4854054D-0E94-4F7D-8D3D-30CE5A155FF6}"/>
    <hyperlink ref="J71:M71" r:id="rId3" display="Adopted Local Plan" xr:uid="{0879FF2B-911D-40CC-A225-9872307DB086}"/>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5D5CD7C9-FCCD-45C9-98C7-0DD54E95CDB4}">
          <x14:formula1>
            <xm:f>'Officer Sheet'!$M$23:$M$58</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279C7-6EA5-4EBD-90B3-7F485F8628C9}">
  <dimension ref="B1:W95"/>
  <sheetViews>
    <sheetView zoomScale="55" zoomScaleNormal="55" workbookViewId="0">
      <selection activeCell="M12" sqref="M12"/>
    </sheetView>
  </sheetViews>
  <sheetFormatPr defaultRowHeight="15" x14ac:dyDescent="0.25"/>
  <cols>
    <col min="1" max="1" width="6.140625" customWidth="1"/>
    <col min="2" max="2" width="11.85546875" customWidth="1"/>
    <col min="3" max="3" width="16" customWidth="1"/>
    <col min="4" max="4" width="58.28515625" customWidth="1"/>
    <col min="5" max="5" width="20.28515625" bestFit="1" customWidth="1"/>
    <col min="6" max="6" width="19.85546875" customWidth="1"/>
    <col min="7" max="7" width="24.7109375" customWidth="1"/>
    <col min="8" max="8" width="15.85546875" customWidth="1"/>
    <col min="9" max="9" width="5.28515625" customWidth="1"/>
    <col min="10" max="10" width="12.7109375" customWidth="1"/>
    <col min="11" max="11" width="17.7109375" bestFit="1" customWidth="1"/>
    <col min="12" max="12" width="17.28515625" bestFit="1" customWidth="1"/>
    <col min="13" max="13" width="54.140625" bestFit="1" customWidth="1"/>
    <col min="14" max="14" width="27.5703125" style="66" customWidth="1"/>
    <col min="15" max="15" width="26.140625" customWidth="1"/>
    <col min="16" max="16" width="28.140625" customWidth="1"/>
    <col min="17" max="17" width="28" customWidth="1"/>
    <col min="18" max="18" width="18.140625" customWidth="1"/>
    <col min="19" max="19" width="17.140625" customWidth="1"/>
    <col min="20" max="20" width="19.7109375" customWidth="1"/>
    <col min="23" max="23" width="15.7109375" bestFit="1" customWidth="1"/>
  </cols>
  <sheetData>
    <row r="1" spans="2:21" ht="15.75" thickBot="1" x14ac:dyDescent="0.3"/>
    <row r="2" spans="2:21" x14ac:dyDescent="0.25">
      <c r="B2" s="67"/>
      <c r="C2" s="68"/>
      <c r="D2" s="68"/>
      <c r="E2" s="68"/>
      <c r="F2" s="68"/>
      <c r="G2" s="68"/>
      <c r="H2" s="68"/>
      <c r="I2" s="69"/>
      <c r="K2" s="67"/>
      <c r="L2" s="68"/>
      <c r="M2" s="68"/>
      <c r="N2" s="70"/>
      <c r="O2" s="68"/>
      <c r="P2" s="68"/>
      <c r="Q2" s="68"/>
      <c r="R2" s="68"/>
      <c r="S2" s="68"/>
      <c r="T2" s="68"/>
      <c r="U2" s="69"/>
    </row>
    <row r="3" spans="2:21" x14ac:dyDescent="0.25">
      <c r="B3" s="71" t="s">
        <v>86</v>
      </c>
      <c r="D3" s="72" t="s">
        <v>87</v>
      </c>
      <c r="E3" s="72">
        <f>SUM('Inputs and Outputs'!G14:I14,'Inputs and Outputs'!H15:J15)</f>
        <v>0</v>
      </c>
      <c r="I3" s="73"/>
      <c r="K3" s="71" t="s">
        <v>43</v>
      </c>
      <c r="M3" t="s">
        <v>88</v>
      </c>
      <c r="N3" s="74">
        <v>228844.29487179487</v>
      </c>
      <c r="O3" s="75" t="s">
        <v>89</v>
      </c>
      <c r="U3" s="73"/>
    </row>
    <row r="4" spans="2:21" x14ac:dyDescent="0.25">
      <c r="B4" s="76"/>
      <c r="D4" s="72" t="s">
        <v>90</v>
      </c>
      <c r="E4" s="72">
        <f>'Inputs and Outputs'!G15</f>
        <v>0</v>
      </c>
      <c r="F4" s="75" t="s">
        <v>91</v>
      </c>
      <c r="I4" s="73"/>
      <c r="K4" s="71"/>
      <c r="N4" s="77">
        <v>0.25</v>
      </c>
      <c r="P4" s="78"/>
      <c r="U4" s="73"/>
    </row>
    <row r="5" spans="2:21" x14ac:dyDescent="0.25">
      <c r="B5" s="76"/>
      <c r="D5" s="72" t="s">
        <v>92</v>
      </c>
      <c r="E5" s="72">
        <f>'Inputs and Outputs'!J14</f>
        <v>0</v>
      </c>
      <c r="F5" s="72">
        <f>E5*E8</f>
        <v>0</v>
      </c>
      <c r="I5" s="73"/>
      <c r="K5" s="71"/>
      <c r="M5" t="s">
        <v>93</v>
      </c>
      <c r="N5" s="79">
        <f>N3*N4</f>
        <v>57211.073717948719</v>
      </c>
      <c r="U5" s="73"/>
    </row>
    <row r="6" spans="2:21" x14ac:dyDescent="0.25">
      <c r="B6" s="76"/>
      <c r="D6" s="84" t="s">
        <v>18</v>
      </c>
      <c r="E6" s="84">
        <f>SUM(E3:E5)</f>
        <v>0</v>
      </c>
      <c r="I6" s="73"/>
      <c r="K6" s="76"/>
      <c r="N6" s="81"/>
      <c r="P6" s="267" t="s">
        <v>94</v>
      </c>
      <c r="Q6" s="267"/>
      <c r="R6" s="221"/>
      <c r="S6" s="221"/>
      <c r="T6" s="221"/>
      <c r="U6" s="73"/>
    </row>
    <row r="7" spans="2:21" x14ac:dyDescent="0.25">
      <c r="B7" s="76"/>
      <c r="I7" s="73"/>
      <c r="K7" s="76"/>
      <c r="L7" s="75" t="s">
        <v>95</v>
      </c>
      <c r="M7" t="s">
        <v>96</v>
      </c>
      <c r="N7" s="82">
        <v>9</v>
      </c>
      <c r="O7" s="83" t="s">
        <v>40</v>
      </c>
      <c r="P7" s="267"/>
      <c r="Q7" s="267"/>
      <c r="R7" s="221"/>
      <c r="S7" s="221"/>
      <c r="T7" s="221"/>
      <c r="U7" s="73"/>
    </row>
    <row r="8" spans="2:21" x14ac:dyDescent="0.25">
      <c r="B8" s="76"/>
      <c r="D8" t="s">
        <v>97</v>
      </c>
      <c r="E8" s="80">
        <v>2</v>
      </c>
      <c r="F8" t="s">
        <v>98</v>
      </c>
      <c r="I8" s="73"/>
      <c r="K8" s="76"/>
      <c r="M8" s="66"/>
      <c r="N8" s="82">
        <v>10</v>
      </c>
      <c r="O8" s="83" t="s">
        <v>40</v>
      </c>
      <c r="P8" s="267"/>
      <c r="Q8" s="267"/>
      <c r="R8" s="221"/>
      <c r="S8" s="221"/>
      <c r="T8" s="221"/>
      <c r="U8" s="73"/>
    </row>
    <row r="9" spans="2:21" x14ac:dyDescent="0.25">
      <c r="B9" s="76"/>
      <c r="I9" s="73"/>
      <c r="K9" s="76"/>
      <c r="M9" s="66"/>
      <c r="N9" s="82">
        <v>14</v>
      </c>
      <c r="O9" s="83" t="s">
        <v>40</v>
      </c>
      <c r="P9" s="267"/>
      <c r="Q9" s="267"/>
      <c r="R9" s="221"/>
      <c r="S9" s="221"/>
      <c r="T9" s="221"/>
      <c r="U9" s="73"/>
    </row>
    <row r="10" spans="2:21" x14ac:dyDescent="0.25">
      <c r="B10" s="76"/>
      <c r="E10" s="84" t="s">
        <v>99</v>
      </c>
      <c r="F10" s="84" t="s">
        <v>100</v>
      </c>
      <c r="G10" s="84" t="s">
        <v>101</v>
      </c>
      <c r="I10" s="73"/>
      <c r="K10" s="87"/>
      <c r="N10" s="88">
        <v>0.5</v>
      </c>
      <c r="O10" s="188" t="s">
        <v>102</v>
      </c>
      <c r="P10" s="267"/>
      <c r="Q10" s="267"/>
      <c r="R10" s="221"/>
      <c r="S10" s="221"/>
      <c r="T10" s="221"/>
      <c r="U10" s="73"/>
    </row>
    <row r="11" spans="2:21" x14ac:dyDescent="0.25">
      <c r="B11" s="76"/>
      <c r="D11" t="s">
        <v>103</v>
      </c>
      <c r="E11" s="85">
        <v>23169</v>
      </c>
      <c r="F11" s="85">
        <v>31867</v>
      </c>
      <c r="G11" s="127">
        <f>F11</f>
        <v>31867</v>
      </c>
      <c r="I11" s="73"/>
      <c r="K11" s="76"/>
      <c r="N11" s="89">
        <v>0.1</v>
      </c>
      <c r="O11" s="188" t="s">
        <v>104</v>
      </c>
      <c r="P11" s="267"/>
      <c r="Q11" s="267"/>
      <c r="R11" s="221"/>
      <c r="S11" s="221"/>
      <c r="T11" s="221"/>
      <c r="U11" s="73"/>
    </row>
    <row r="12" spans="2:21" x14ac:dyDescent="0.25">
      <c r="B12" s="76"/>
      <c r="D12" t="s">
        <v>105</v>
      </c>
      <c r="E12" s="86">
        <v>0.21</v>
      </c>
      <c r="F12" s="86">
        <v>0.15</v>
      </c>
      <c r="G12" s="86">
        <v>0.03</v>
      </c>
      <c r="I12" s="73"/>
      <c r="K12" s="76"/>
      <c r="N12" s="89">
        <v>0.2</v>
      </c>
      <c r="O12" s="188" t="s">
        <v>104</v>
      </c>
      <c r="P12" s="21"/>
      <c r="Q12" s="21"/>
      <c r="U12" s="73"/>
    </row>
    <row r="13" spans="2:21" x14ac:dyDescent="0.25">
      <c r="B13" s="76"/>
      <c r="D13" t="s">
        <v>106</v>
      </c>
      <c r="E13" s="86">
        <v>7.0000000000000007E-2</v>
      </c>
      <c r="F13" s="175"/>
      <c r="G13" s="175"/>
      <c r="I13" s="73"/>
      <c r="K13" s="76"/>
      <c r="N13" s="189"/>
      <c r="P13" s="267" t="s">
        <v>107</v>
      </c>
      <c r="Q13" s="267"/>
      <c r="R13" s="221"/>
      <c r="S13" s="221"/>
      <c r="T13" s="221"/>
      <c r="U13" s="73"/>
    </row>
    <row r="14" spans="2:21" x14ac:dyDescent="0.25">
      <c r="B14" s="76"/>
      <c r="D14" t="s">
        <v>108</v>
      </c>
      <c r="E14" s="90">
        <v>7.4999999999999997E-2</v>
      </c>
      <c r="F14" s="90">
        <v>7.4999999999999997E-2</v>
      </c>
      <c r="G14" s="90">
        <v>7.4999999999999997E-2</v>
      </c>
      <c r="I14" s="73"/>
      <c r="K14" s="76"/>
      <c r="M14" t="s">
        <v>109</v>
      </c>
      <c r="N14" s="82">
        <v>5</v>
      </c>
      <c r="O14" s="188" t="s">
        <v>110</v>
      </c>
      <c r="P14" s="267"/>
      <c r="Q14" s="267"/>
      <c r="R14" s="221"/>
      <c r="S14" s="221"/>
      <c r="T14" s="221"/>
      <c r="U14" s="73"/>
    </row>
    <row r="15" spans="2:21" x14ac:dyDescent="0.25">
      <c r="B15" s="76"/>
      <c r="I15" s="73"/>
      <c r="K15" s="76"/>
      <c r="N15" s="88">
        <v>50</v>
      </c>
      <c r="O15" s="188" t="s">
        <v>111</v>
      </c>
      <c r="P15" s="267"/>
      <c r="Q15" s="267"/>
      <c r="R15" s="221"/>
      <c r="S15" s="221"/>
      <c r="T15" s="221"/>
      <c r="U15" s="73"/>
    </row>
    <row r="16" spans="2:21" x14ac:dyDescent="0.25">
      <c r="B16" s="76"/>
      <c r="D16" t="s">
        <v>112</v>
      </c>
      <c r="E16" s="91">
        <f>ROUND((E12*E3)+(E13*E4)+(E12*F5),2)</f>
        <v>0</v>
      </c>
      <c r="I16" s="73"/>
      <c r="K16" s="76"/>
      <c r="N16" s="88">
        <v>75</v>
      </c>
      <c r="O16" s="188" t="s">
        <v>111</v>
      </c>
      <c r="P16" s="267"/>
      <c r="Q16" s="267"/>
      <c r="R16" s="221"/>
      <c r="S16" s="221"/>
      <c r="T16" s="221"/>
      <c r="U16" s="73"/>
    </row>
    <row r="17" spans="2:21" ht="15.75" thickBot="1" x14ac:dyDescent="0.3">
      <c r="B17" s="76"/>
      <c r="D17" t="s">
        <v>113</v>
      </c>
      <c r="E17" s="92">
        <f>ROUND(((E3*F12)+(F5*F12)),2)</f>
        <v>0</v>
      </c>
      <c r="I17" s="73"/>
      <c r="K17" s="94"/>
      <c r="L17" s="95"/>
      <c r="M17" s="95"/>
      <c r="N17" s="96"/>
      <c r="O17" s="95"/>
      <c r="P17" s="95"/>
      <c r="Q17" s="95"/>
      <c r="R17" s="95"/>
      <c r="S17" s="95"/>
      <c r="T17" s="95"/>
      <c r="U17" s="97"/>
    </row>
    <row r="18" spans="2:21" ht="15.75" thickBot="1" x14ac:dyDescent="0.3">
      <c r="B18" s="76"/>
      <c r="D18" t="s">
        <v>114</v>
      </c>
      <c r="E18" s="92">
        <f>ROUND(((E3*G12)+(F5*G12)),2)</f>
        <v>0</v>
      </c>
      <c r="I18" s="73"/>
    </row>
    <row r="19" spans="2:21" x14ac:dyDescent="0.25">
      <c r="B19" s="76"/>
      <c r="E19" s="93"/>
      <c r="I19" s="73"/>
      <c r="K19" s="67"/>
      <c r="L19" s="68"/>
      <c r="M19" s="68"/>
      <c r="N19" s="70"/>
      <c r="O19" s="68"/>
      <c r="P19" s="68"/>
      <c r="Q19" s="68"/>
      <c r="R19" s="68"/>
      <c r="S19" s="68"/>
      <c r="T19" s="68"/>
      <c r="U19" s="69"/>
    </row>
    <row r="20" spans="2:21" x14ac:dyDescent="0.25">
      <c r="B20" s="76"/>
      <c r="D20" s="66" t="s">
        <v>115</v>
      </c>
      <c r="E20" s="92">
        <v>10</v>
      </c>
      <c r="F20" t="s">
        <v>116</v>
      </c>
      <c r="I20" s="73"/>
      <c r="K20" s="76"/>
      <c r="M20" s="84" t="s">
        <v>117</v>
      </c>
      <c r="N20" s="181">
        <v>1000000</v>
      </c>
      <c r="U20" s="73"/>
    </row>
    <row r="21" spans="2:21" ht="15.75" thickBot="1" x14ac:dyDescent="0.3">
      <c r="B21" s="94"/>
      <c r="C21" s="95"/>
      <c r="D21" s="95"/>
      <c r="E21" s="98"/>
      <c r="F21" s="95"/>
      <c r="G21" s="95"/>
      <c r="H21" s="95"/>
      <c r="I21" s="97"/>
      <c r="K21" s="76"/>
      <c r="U21" s="73"/>
    </row>
    <row r="22" spans="2:21" ht="29.45" customHeight="1" thickBot="1" x14ac:dyDescent="0.3">
      <c r="E22" s="93"/>
      <c r="K22" s="76"/>
      <c r="M22" s="27" t="s">
        <v>118</v>
      </c>
      <c r="N22" s="27" t="s">
        <v>119</v>
      </c>
      <c r="O22" s="27" t="s">
        <v>120</v>
      </c>
      <c r="P22" s="27" t="s">
        <v>121</v>
      </c>
      <c r="Q22" s="191" t="s">
        <v>122</v>
      </c>
      <c r="R22" s="191" t="s">
        <v>123</v>
      </c>
      <c r="S22" s="191" t="s">
        <v>124</v>
      </c>
      <c r="T22" s="191" t="s">
        <v>125</v>
      </c>
      <c r="U22" s="73"/>
    </row>
    <row r="23" spans="2:21" x14ac:dyDescent="0.25">
      <c r="B23" s="67"/>
      <c r="C23" s="68"/>
      <c r="D23" s="68"/>
      <c r="E23" s="99"/>
      <c r="F23" s="68"/>
      <c r="G23" s="68"/>
      <c r="H23" s="68"/>
      <c r="I23" s="69"/>
      <c r="K23" s="76"/>
      <c r="M23" t="s">
        <v>126</v>
      </c>
      <c r="N23" s="100">
        <v>70</v>
      </c>
      <c r="O23" s="185">
        <f ca="1">SUMIF('Inputs and Outputs'!$F$22:$H$22, Table1[[#This Row],[Use]], 'Inputs and Outputs'!$I$22:$I$22)</f>
        <v>0</v>
      </c>
      <c r="P23" s="101">
        <f ca="1">Table1[[#This Row],[Total sqm proposed / rooms]]/Table1[[#This Row],[sqm /rooms per emp.]]</f>
        <v>0</v>
      </c>
      <c r="Q23" t="s">
        <v>127</v>
      </c>
      <c r="R23" s="130">
        <v>11.9</v>
      </c>
      <c r="S23" s="192">
        <f ca="1">SUMIF('Inputs and Outputs'!$F$22:$H$22, Table1[[#This Row],[Use]], 'Inputs and Outputs'!$F$30)</f>
        <v>0</v>
      </c>
      <c r="T23" s="195">
        <f ca="1">(Table1[[#This Row],[Com. Con. Cost]]/1000000)*Table1[[#This Row],[Cons. FTE per £1m]]</f>
        <v>0</v>
      </c>
      <c r="U23" s="73"/>
    </row>
    <row r="24" spans="2:21" x14ac:dyDescent="0.25">
      <c r="B24" s="71" t="s">
        <v>54</v>
      </c>
      <c r="E24" s="93"/>
      <c r="I24" s="73"/>
      <c r="K24" s="76"/>
      <c r="M24" t="s">
        <v>128</v>
      </c>
      <c r="N24" s="100">
        <v>8</v>
      </c>
      <c r="O24" s="185">
        <f ca="1">SUMIF('Inputs and Outputs'!$F$22:$H$22, Table1[[#This Row],[Use]], 'Inputs and Outputs'!$I$22:$I$22)</f>
        <v>0</v>
      </c>
      <c r="P24" s="101">
        <f ca="1">Table1[[#This Row],[Total sqm proposed / rooms]]/Table1[[#This Row],[sqm /rooms per emp.]]</f>
        <v>0</v>
      </c>
      <c r="Q24" t="s">
        <v>129</v>
      </c>
      <c r="R24" s="130">
        <v>9.4</v>
      </c>
      <c r="S24" s="192">
        <f ca="1">SUMIF('Inputs and Outputs'!$F$22:$H$22, Table1[[#This Row],[Use]], 'Inputs and Outputs'!$F$30)</f>
        <v>0</v>
      </c>
      <c r="T24" s="195">
        <f ca="1">(Table1[[#This Row],[Com. Con. Cost]]/1000000)*Table1[[#This Row],[Cons. FTE per £1m]]</f>
        <v>0</v>
      </c>
      <c r="U24" s="73"/>
    </row>
    <row r="25" spans="2:21" x14ac:dyDescent="0.25">
      <c r="B25" s="76"/>
      <c r="E25" t="s">
        <v>130</v>
      </c>
      <c r="F25" t="s">
        <v>131</v>
      </c>
      <c r="G25" t="s">
        <v>132</v>
      </c>
      <c r="I25" s="73"/>
      <c r="K25" s="76"/>
      <c r="M25" t="s">
        <v>133</v>
      </c>
      <c r="N25" s="100">
        <v>200</v>
      </c>
      <c r="O25" s="185">
        <f ca="1">SUMIF('Inputs and Outputs'!$F$22:$H$22, Table1[[#This Row],[Use]], 'Inputs and Outputs'!$I$22:$I$22)</f>
        <v>0</v>
      </c>
      <c r="P25" s="101">
        <f ca="1">Table1[[#This Row],[Total sqm proposed / rooms]]/Table1[[#This Row],[sqm /rooms per emp.]]</f>
        <v>0</v>
      </c>
      <c r="Q25" t="s">
        <v>127</v>
      </c>
      <c r="R25" s="130">
        <v>11.9</v>
      </c>
      <c r="S25" s="192">
        <f ca="1">SUMIF('Inputs and Outputs'!$F$22:$H$22, Table1[[#This Row],[Use]], 'Inputs and Outputs'!$F$30)</f>
        <v>0</v>
      </c>
      <c r="T25" s="195">
        <f ca="1">(Table1[[#This Row],[Com. Con. Cost]]/1000000)*Table1[[#This Row],[Cons. FTE per £1m]]</f>
        <v>0</v>
      </c>
      <c r="U25" s="73"/>
    </row>
    <row r="26" spans="2:21" x14ac:dyDescent="0.25">
      <c r="B26" s="76"/>
      <c r="D26" s="72" t="s">
        <v>134</v>
      </c>
      <c r="E26" s="174">
        <f>'Inputs and Outputs'!E16</f>
        <v>0</v>
      </c>
      <c r="F26" s="86">
        <v>1</v>
      </c>
      <c r="G26" s="102">
        <f>E26*F26</f>
        <v>0</v>
      </c>
      <c r="H26" s="103">
        <v>1345</v>
      </c>
      <c r="I26" s="104"/>
      <c r="K26" s="76"/>
      <c r="M26" t="s">
        <v>135</v>
      </c>
      <c r="N26" s="100">
        <v>360</v>
      </c>
      <c r="O26" s="185">
        <f ca="1">SUMIF('Inputs and Outputs'!$F$22:$H$22, Table1[[#This Row],[Use]], 'Inputs and Outputs'!$I$22:$I$22)</f>
        <v>0</v>
      </c>
      <c r="P26" s="101">
        <f ca="1">Table1[[#This Row],[Total sqm proposed / rooms]]/Table1[[#This Row],[sqm /rooms per emp.]]</f>
        <v>0</v>
      </c>
      <c r="Q26" t="s">
        <v>136</v>
      </c>
      <c r="R26" s="130">
        <v>7.1</v>
      </c>
      <c r="S26" s="192">
        <f ca="1">SUMIF('Inputs and Outputs'!$F$22:$H$22, Table1[[#This Row],[Use]], 'Inputs and Outputs'!$F$30)</f>
        <v>0</v>
      </c>
      <c r="T26" s="195">
        <f ca="1">(Table1[[#This Row],[Com. Con. Cost]]/1000000)*Table1[[#This Row],[Cons. FTE per £1m]]</f>
        <v>0</v>
      </c>
      <c r="U26" s="73"/>
    </row>
    <row r="27" spans="2:21" x14ac:dyDescent="0.25">
      <c r="B27" s="76"/>
      <c r="D27" s="72" t="s">
        <v>137</v>
      </c>
      <c r="E27" s="72">
        <f>'Inputs and Outputs'!F16</f>
        <v>0</v>
      </c>
      <c r="F27" s="86">
        <v>1.3</v>
      </c>
      <c r="G27" s="102">
        <f>E27*F27</f>
        <v>0</v>
      </c>
      <c r="H27" s="103">
        <v>1749</v>
      </c>
      <c r="I27" s="104"/>
      <c r="K27" s="76"/>
      <c r="M27" t="s">
        <v>138</v>
      </c>
      <c r="N27" s="100">
        <v>920</v>
      </c>
      <c r="O27" s="185">
        <f ca="1">SUMIF('Inputs and Outputs'!$F$22:$H$22, Table1[[#This Row],[Use]], 'Inputs and Outputs'!$I$22:$I$22)</f>
        <v>0</v>
      </c>
      <c r="P27" s="101">
        <f ca="1">Table1[[#This Row],[Total sqm proposed / rooms]]/Table1[[#This Row],[sqm /rooms per emp.]]</f>
        <v>0</v>
      </c>
      <c r="Q27" t="s">
        <v>136</v>
      </c>
      <c r="R27" s="130">
        <v>7.1</v>
      </c>
      <c r="S27" s="192">
        <f ca="1">SUMIF('Inputs and Outputs'!$F$22:$H$22, Table1[[#This Row],[Use]], 'Inputs and Outputs'!$F$30)</f>
        <v>0</v>
      </c>
      <c r="T27" s="195">
        <f ca="1">(Table1[[#This Row],[Com. Con. Cost]]/1000000)*Table1[[#This Row],[Cons. FTE per £1m]]</f>
        <v>0</v>
      </c>
      <c r="U27" s="73"/>
    </row>
    <row r="28" spans="2:21" x14ac:dyDescent="0.25">
      <c r="B28" s="76"/>
      <c r="D28" s="72" t="s">
        <v>139</v>
      </c>
      <c r="E28" s="72">
        <f>'Inputs and Outputs'!G16</f>
        <v>0</v>
      </c>
      <c r="F28" s="86">
        <v>1.88</v>
      </c>
      <c r="G28" s="102">
        <f t="shared" ref="G28:G31" si="0">E28*F28</f>
        <v>0</v>
      </c>
      <c r="H28" s="103">
        <v>2556</v>
      </c>
      <c r="I28" s="104"/>
      <c r="K28" s="76"/>
      <c r="M28" t="s">
        <v>140</v>
      </c>
      <c r="N28" s="100">
        <v>575</v>
      </c>
      <c r="O28" s="185">
        <f ca="1">SUMIF('Inputs and Outputs'!$F$22:$H$22, Table1[[#This Row],[Use]], 'Inputs and Outputs'!$I$22:$I$22)</f>
        <v>0</v>
      </c>
      <c r="P28" s="101">
        <f ca="1">Table1[[#This Row],[Total sqm proposed / rooms]]/Table1[[#This Row],[sqm /rooms per emp.]]</f>
        <v>0</v>
      </c>
      <c r="Q28" t="s">
        <v>136</v>
      </c>
      <c r="R28" s="130">
        <v>7.1</v>
      </c>
      <c r="S28" s="192">
        <f ca="1">SUMIF('Inputs and Outputs'!$F$22:$H$22, Table1[[#This Row],[Use]], 'Inputs and Outputs'!$F$30)</f>
        <v>0</v>
      </c>
      <c r="T28" s="195">
        <f ca="1">(Table1[[#This Row],[Com. Con. Cost]]/1000000)*Table1[[#This Row],[Cons. FTE per £1m]]</f>
        <v>0</v>
      </c>
      <c r="U28" s="73"/>
    </row>
    <row r="29" spans="2:21" x14ac:dyDescent="0.25">
      <c r="B29" s="76"/>
      <c r="D29" s="72" t="s">
        <v>141</v>
      </c>
      <c r="E29" s="72">
        <f>'Inputs and Outputs'!H16</f>
        <v>0</v>
      </c>
      <c r="F29" s="86">
        <v>2.57</v>
      </c>
      <c r="G29" s="102">
        <f t="shared" si="0"/>
        <v>0</v>
      </c>
      <c r="H29" s="103">
        <v>3632</v>
      </c>
      <c r="I29" s="104"/>
      <c r="K29" s="76"/>
      <c r="M29" t="s">
        <v>142</v>
      </c>
      <c r="N29" s="100">
        <v>16</v>
      </c>
      <c r="O29" s="185">
        <f ca="1">SUMIF('Inputs and Outputs'!$F$22:$H$22, Table1[[#This Row],[Use]], 'Inputs and Outputs'!$I$22:$I$22)</f>
        <v>0</v>
      </c>
      <c r="P29" s="101">
        <f ca="1">Table1[[#This Row],[Total sqm proposed / rooms]]/Table1[[#This Row],[sqm /rooms per emp.]]</f>
        <v>0</v>
      </c>
      <c r="Q29" t="s">
        <v>129</v>
      </c>
      <c r="R29" s="130">
        <v>9.4</v>
      </c>
      <c r="S29" s="192">
        <f ca="1">SUMIF('Inputs and Outputs'!$F$22:$H$22, Table1[[#This Row],[Use]], 'Inputs and Outputs'!$F$30)</f>
        <v>0</v>
      </c>
      <c r="T29" s="195">
        <f ca="1">(Table1[[#This Row],[Com. Con. Cost]]/1000000)*Table1[[#This Row],[Cons. FTE per £1m]]</f>
        <v>0</v>
      </c>
      <c r="U29" s="73"/>
    </row>
    <row r="30" spans="2:21" x14ac:dyDescent="0.25">
      <c r="B30" s="76"/>
      <c r="D30" s="72" t="s">
        <v>143</v>
      </c>
      <c r="E30" s="72">
        <f>'Inputs and Outputs'!I16</f>
        <v>0</v>
      </c>
      <c r="F30" s="86">
        <v>3.3</v>
      </c>
      <c r="G30" s="102">
        <f t="shared" si="0"/>
        <v>0</v>
      </c>
      <c r="H30" s="103">
        <v>4439</v>
      </c>
      <c r="I30" s="104"/>
      <c r="K30" s="76"/>
      <c r="M30" t="s">
        <v>144</v>
      </c>
      <c r="N30" s="100">
        <v>100</v>
      </c>
      <c r="O30" s="185">
        <f ca="1">SUMIF('Inputs and Outputs'!$F$22:$H$22, Table1[[#This Row],[Use]], 'Inputs and Outputs'!$I$22:$I$22)</f>
        <v>0</v>
      </c>
      <c r="P30" s="101">
        <f ca="1">Table1[[#This Row],[Total sqm proposed / rooms]]/Table1[[#This Row],[sqm /rooms per emp.]]</f>
        <v>0</v>
      </c>
      <c r="Q30" t="s">
        <v>127</v>
      </c>
      <c r="R30" s="130">
        <v>11.9</v>
      </c>
      <c r="S30" s="192">
        <f ca="1">SUMIF('Inputs and Outputs'!$F$22:$H$22, Table1[[#This Row],[Use]], 'Inputs and Outputs'!$F$30)</f>
        <v>0</v>
      </c>
      <c r="T30" s="195">
        <f ca="1">(Table1[[#This Row],[Com. Con. Cost]]/1000000)*Table1[[#This Row],[Cons. FTE per £1m]]</f>
        <v>0</v>
      </c>
      <c r="U30" s="73"/>
    </row>
    <row r="31" spans="2:21" x14ac:dyDescent="0.25">
      <c r="B31" s="76"/>
      <c r="D31" s="72" t="s">
        <v>145</v>
      </c>
      <c r="E31" s="72">
        <f>'Inputs and Outputs'!J16</f>
        <v>0</v>
      </c>
      <c r="F31" s="86">
        <v>4.2</v>
      </c>
      <c r="G31" s="102">
        <f t="shared" si="0"/>
        <v>0</v>
      </c>
      <c r="H31" s="103">
        <v>6322</v>
      </c>
      <c r="I31" s="104"/>
      <c r="K31" s="76"/>
      <c r="M31" t="s">
        <v>146</v>
      </c>
      <c r="N31" s="100">
        <v>65</v>
      </c>
      <c r="O31" s="185">
        <f ca="1">SUMIF('Inputs and Outputs'!$F$22:$H$22, Table1[[#This Row],[Use]], 'Inputs and Outputs'!$I$22:$I$22)</f>
        <v>0</v>
      </c>
      <c r="P31" s="101">
        <f ca="1">Table1[[#This Row],[Total sqm proposed / rooms]]/Table1[[#This Row],[sqm /rooms per emp.]]</f>
        <v>0</v>
      </c>
      <c r="Q31" t="s">
        <v>127</v>
      </c>
      <c r="R31" s="130">
        <v>11.9</v>
      </c>
      <c r="S31" s="192">
        <f ca="1">SUMIF('Inputs and Outputs'!$F$22:$H$22, Table1[[#This Row],[Use]], 'Inputs and Outputs'!$F$30)</f>
        <v>0</v>
      </c>
      <c r="T31" s="195">
        <f ca="1">(Table1[[#This Row],[Com. Con. Cost]]/1000000)*Table1[[#This Row],[Cons. FTE per £1m]]</f>
        <v>0</v>
      </c>
      <c r="U31" s="73"/>
    </row>
    <row r="32" spans="2:21" x14ac:dyDescent="0.25">
      <c r="B32" s="76"/>
      <c r="F32" s="105" t="s">
        <v>18</v>
      </c>
      <c r="G32" s="106">
        <f>SUM(G26:G31)</f>
        <v>0</v>
      </c>
      <c r="I32" s="73"/>
      <c r="K32" s="76"/>
      <c r="M32" t="s">
        <v>27</v>
      </c>
      <c r="N32" s="100">
        <v>65</v>
      </c>
      <c r="O32" s="185">
        <f ca="1">SUMIF('Inputs and Outputs'!$F$22:$H$22, Table1[[#This Row],[Use]], 'Inputs and Outputs'!$I$22:$I$22)</f>
        <v>0</v>
      </c>
      <c r="P32" s="101">
        <f ca="1">Table1[[#This Row],[Total sqm proposed / rooms]]/Table1[[#This Row],[sqm /rooms per emp.]]</f>
        <v>0</v>
      </c>
      <c r="Q32" t="s">
        <v>127</v>
      </c>
      <c r="R32" s="130">
        <v>11.9</v>
      </c>
      <c r="S32" s="192">
        <f ca="1">SUMIF('Inputs and Outputs'!$F$22:$H$22, Table1[[#This Row],[Use]], 'Inputs and Outputs'!$F$30)</f>
        <v>0</v>
      </c>
      <c r="T32" s="195">
        <f ca="1">(Table1[[#This Row],[Com. Con. Cost]]/1000000)*Table1[[#This Row],[Cons. FTE per £1m]]</f>
        <v>0</v>
      </c>
      <c r="U32" s="73"/>
    </row>
    <row r="33" spans="2:23" x14ac:dyDescent="0.25">
      <c r="B33" s="76"/>
      <c r="G33" s="108"/>
      <c r="I33" s="73"/>
      <c r="K33" s="76"/>
      <c r="M33" s="107" t="s">
        <v>147</v>
      </c>
      <c r="N33" s="100">
        <v>10</v>
      </c>
      <c r="O33" s="185">
        <f ca="1">SUMIF('Inputs and Outputs'!$F$22:$H$22, Table1[[#This Row],[Use]], 'Inputs and Outputs'!$I$22:$I$22)</f>
        <v>0</v>
      </c>
      <c r="P33" s="101">
        <f ca="1">Table1[[#This Row],[Total sqm proposed / rooms]]/Table1[[#This Row],[sqm /rooms per emp.]]</f>
        <v>0</v>
      </c>
      <c r="Q33" t="s">
        <v>129</v>
      </c>
      <c r="R33" s="130">
        <v>9.4</v>
      </c>
      <c r="S33" s="192">
        <f ca="1">SUMIF('Inputs and Outputs'!$F$22:$H$22, Table1[[#This Row],[Use]], 'Inputs and Outputs'!$F$30)</f>
        <v>0</v>
      </c>
      <c r="T33" s="195">
        <f ca="1">(Table1[[#This Row],[Com. Con. Cost]]/1000000)*Table1[[#This Row],[Cons. FTE per £1m]]</f>
        <v>0</v>
      </c>
      <c r="U33" s="73"/>
    </row>
    <row r="34" spans="2:23" x14ac:dyDescent="0.25">
      <c r="B34" s="76"/>
      <c r="E34" t="s">
        <v>148</v>
      </c>
      <c r="F34" t="s">
        <v>148</v>
      </c>
      <c r="G34" s="108"/>
      <c r="I34" s="73"/>
      <c r="K34" s="76"/>
      <c r="M34" s="109" t="s">
        <v>149</v>
      </c>
      <c r="N34" s="110">
        <v>5</v>
      </c>
      <c r="O34" s="185">
        <f ca="1">SUMIF('Inputs and Outputs'!$F$22:$H$22, Table1[[#This Row],[Use]], 'Inputs and Outputs'!$I$22:$I$22)</f>
        <v>0</v>
      </c>
      <c r="P34" s="101">
        <f ca="1">Table1[[#This Row],[Total sqm proposed / rooms]]/Table1[[#This Row],[sqm /rooms per emp.]]</f>
        <v>0</v>
      </c>
      <c r="Q34" t="s">
        <v>129</v>
      </c>
      <c r="R34" s="130">
        <v>9.4</v>
      </c>
      <c r="S34" s="192">
        <f ca="1">SUMIF('Inputs and Outputs'!$F$22:$H$22, Table1[[#This Row],[Use]], 'Inputs and Outputs'!$F$30)</f>
        <v>0</v>
      </c>
      <c r="T34" s="195">
        <f ca="1">(Table1[[#This Row],[Com. Con. Cost]]/1000000)*Table1[[#This Row],[Cons. FTE per £1m]]</f>
        <v>0</v>
      </c>
      <c r="U34" s="73"/>
    </row>
    <row r="35" spans="2:23" x14ac:dyDescent="0.25">
      <c r="B35" s="76"/>
      <c r="D35" s="72" t="s">
        <v>150</v>
      </c>
      <c r="E35" s="111">
        <f ca="1">SUMIF(Table1[Use],D35,Table1[Total sqm proposed / rooms])</f>
        <v>0</v>
      </c>
      <c r="F35" s="111">
        <f ca="1">SUMIF(Table1[Use],D35,Table1[Est. num. emp. - operations])</f>
        <v>0</v>
      </c>
      <c r="G35" s="108"/>
      <c r="I35" s="73"/>
      <c r="K35" s="76"/>
      <c r="M35" s="109" t="s">
        <v>151</v>
      </c>
      <c r="N35" s="110">
        <v>3</v>
      </c>
      <c r="O35" s="185">
        <f ca="1">SUMIF('Inputs and Outputs'!$F$22:$H$22, Table1[[#This Row],[Use]], 'Inputs and Outputs'!$I$22:$I$22)</f>
        <v>0</v>
      </c>
      <c r="P35" s="101">
        <f ca="1">Table1[[#This Row],[Total sqm proposed / rooms]]/Table1[[#This Row],[sqm /rooms per emp.]]</f>
        <v>0</v>
      </c>
      <c r="Q35" t="s">
        <v>129</v>
      </c>
      <c r="R35" s="130">
        <v>9.4</v>
      </c>
      <c r="S35" s="192">
        <f ca="1">SUMIF('Inputs and Outputs'!$F$22:$H$22, Table1[[#This Row],[Use]], 'Inputs and Outputs'!$F$30)</f>
        <v>0</v>
      </c>
      <c r="T35" s="195">
        <f ca="1">(Table1[[#This Row],[Com. Con. Cost]]/1000000)*Table1[[#This Row],[Cons. FTE per £1m]]</f>
        <v>0</v>
      </c>
      <c r="U35" s="73"/>
    </row>
    <row r="36" spans="2:23" x14ac:dyDescent="0.25">
      <c r="B36" s="76"/>
      <c r="D36" s="72" t="s">
        <v>152</v>
      </c>
      <c r="E36" s="111">
        <f ca="1">SUMIF(Table1[Use],D36,Table1[Total sqm proposed / rooms])</f>
        <v>0</v>
      </c>
      <c r="F36" s="111">
        <f ca="1">SUMIF(Table1[Use],D36,Table1[Est. num. emp. - operations])</f>
        <v>0</v>
      </c>
      <c r="G36" s="108"/>
      <c r="I36" s="73"/>
      <c r="K36" s="76"/>
      <c r="M36" s="109" t="s">
        <v>153</v>
      </c>
      <c r="N36" s="110">
        <v>2</v>
      </c>
      <c r="O36" s="185">
        <f ca="1">SUMIF('Inputs and Outputs'!$F$22:$H$22, Table1[[#This Row],[Use]], 'Inputs and Outputs'!$I$22:$I$22)</f>
        <v>0</v>
      </c>
      <c r="P36" s="101">
        <f ca="1">Table1[[#This Row],[Total sqm proposed / rooms]]/Table1[[#This Row],[sqm /rooms per emp.]]</f>
        <v>0</v>
      </c>
      <c r="Q36" t="s">
        <v>129</v>
      </c>
      <c r="R36" s="130">
        <v>9.4</v>
      </c>
      <c r="S36" s="192">
        <f ca="1">SUMIF('Inputs and Outputs'!$F$22:$H$22, Table1[[#This Row],[Use]], 'Inputs and Outputs'!$F$30)</f>
        <v>0</v>
      </c>
      <c r="T36" s="195">
        <f ca="1">(Table1[[#This Row],[Com. Con. Cost]]/1000000)*Table1[[#This Row],[Cons. FTE per £1m]]</f>
        <v>0</v>
      </c>
      <c r="U36" s="73"/>
    </row>
    <row r="37" spans="2:23" x14ac:dyDescent="0.25">
      <c r="B37" s="76"/>
      <c r="D37" s="72" t="s">
        <v>154</v>
      </c>
      <c r="E37" s="111">
        <f ca="1">SUMIF(Table1[Use],D37,Table1[Total sqm proposed / rooms])</f>
        <v>0</v>
      </c>
      <c r="F37" s="111">
        <f ca="1">SUMIF(Table1[Use],D37,Table1[Est. num. emp. - operations])</f>
        <v>0</v>
      </c>
      <c r="G37" s="108"/>
      <c r="I37" s="73"/>
      <c r="K37" s="76"/>
      <c r="M37" s="109" t="s">
        <v>155</v>
      </c>
      <c r="N37" s="110">
        <v>1</v>
      </c>
      <c r="O37" s="185">
        <f ca="1">SUMIF('Inputs and Outputs'!$F$22:$H$22, Table1[[#This Row],[Use]], 'Inputs and Outputs'!$I$22:$I$22)</f>
        <v>0</v>
      </c>
      <c r="P37" s="101">
        <f ca="1">Table1[[#This Row],[Total sqm proposed / rooms]]/Table1[[#This Row],[sqm /rooms per emp.]]</f>
        <v>0</v>
      </c>
      <c r="Q37" t="s">
        <v>129</v>
      </c>
      <c r="R37" s="130">
        <v>9.4</v>
      </c>
      <c r="S37" s="192">
        <f ca="1">SUMIF('Inputs and Outputs'!$F$22:$H$22, Table1[[#This Row],[Use]], 'Inputs and Outputs'!$F$30)</f>
        <v>0</v>
      </c>
      <c r="T37" s="195">
        <f ca="1">(Table1[[#This Row],[Com. Con. Cost]]/1000000)*Table1[[#This Row],[Cons. FTE per £1m]]</f>
        <v>0</v>
      </c>
      <c r="U37" s="73"/>
    </row>
    <row r="38" spans="2:23" x14ac:dyDescent="0.25">
      <c r="B38" s="76"/>
      <c r="D38" s="72" t="s">
        <v>156</v>
      </c>
      <c r="E38" s="111">
        <f ca="1">SUMIF(Table1[Use],D38,Table1[Total sqm proposed / rooms])</f>
        <v>0</v>
      </c>
      <c r="F38" s="111">
        <f ca="1">SUMIF(Table1[Use],D38,Table1[Est. num. emp. - operations])</f>
        <v>0</v>
      </c>
      <c r="G38" s="108"/>
      <c r="I38" s="73"/>
      <c r="K38" s="76"/>
      <c r="M38" t="s">
        <v>157</v>
      </c>
      <c r="N38" s="100">
        <v>36</v>
      </c>
      <c r="O38" s="185">
        <f ca="1">SUMIF('Inputs and Outputs'!$F$22:$H$22, Table1[[#This Row],[Use]], 'Inputs and Outputs'!$I$22:$I$22)</f>
        <v>0</v>
      </c>
      <c r="P38" s="101">
        <f ca="1">Table1[[#This Row],[Total sqm proposed / rooms]]/Table1[[#This Row],[sqm /rooms per emp.]]</f>
        <v>0</v>
      </c>
      <c r="Q38" t="s">
        <v>136</v>
      </c>
      <c r="R38" s="130">
        <v>7.1</v>
      </c>
      <c r="S38" s="192">
        <f ca="1">SUMIF('Inputs and Outputs'!$F$22:$H$22, Table1[[#This Row],[Use]], 'Inputs and Outputs'!$F$30)</f>
        <v>0</v>
      </c>
      <c r="T38" s="195">
        <f ca="1">(Table1[[#This Row],[Com. Con. Cost]]/1000000)*Table1[[#This Row],[Cons. FTE per £1m]]</f>
        <v>0</v>
      </c>
      <c r="U38" s="73"/>
    </row>
    <row r="39" spans="2:23" x14ac:dyDescent="0.25">
      <c r="B39" s="76"/>
      <c r="D39" s="72" t="s">
        <v>158</v>
      </c>
      <c r="E39" s="111">
        <f ca="1">SUMIF(Table1[Use],D39,Table1[Total sqm proposed / rooms])</f>
        <v>0</v>
      </c>
      <c r="F39" s="111">
        <f ca="1">SUMIF(Table1[Use],D39,Table1[Est. num. emp. - operations])</f>
        <v>0</v>
      </c>
      <c r="G39" s="108"/>
      <c r="I39" s="73"/>
      <c r="K39" s="76"/>
      <c r="M39" t="s">
        <v>159</v>
      </c>
      <c r="N39" s="100">
        <v>47</v>
      </c>
      <c r="O39" s="185">
        <f ca="1">SUMIF('Inputs and Outputs'!$F$22:$H$22, Table1[[#This Row],[Use]], 'Inputs and Outputs'!$I$22:$I$22)</f>
        <v>0</v>
      </c>
      <c r="P39" s="101">
        <f ca="1">Table1[[#This Row],[Total sqm proposed / rooms]]/Table1[[#This Row],[sqm /rooms per emp.]]</f>
        <v>0</v>
      </c>
      <c r="Q39" t="s">
        <v>136</v>
      </c>
      <c r="R39" s="130">
        <v>7.1</v>
      </c>
      <c r="S39" s="192">
        <f ca="1">SUMIF('Inputs and Outputs'!$F$22:$H$22, Table1[[#This Row],[Use]], 'Inputs and Outputs'!$F$30)</f>
        <v>0</v>
      </c>
      <c r="T39" s="195">
        <f ca="1">(Table1[[#This Row],[Com. Con. Cost]]/1000000)*Table1[[#This Row],[Cons. FTE per £1m]]</f>
        <v>0</v>
      </c>
      <c r="U39" s="73"/>
    </row>
    <row r="40" spans="2:23" x14ac:dyDescent="0.25">
      <c r="B40" s="76"/>
      <c r="D40" s="72" t="s">
        <v>160</v>
      </c>
      <c r="E40" s="111"/>
      <c r="F40" s="111"/>
      <c r="G40" s="108"/>
      <c r="I40" s="73"/>
      <c r="K40" s="76"/>
      <c r="M40" t="s">
        <v>150</v>
      </c>
      <c r="N40" s="100">
        <v>13</v>
      </c>
      <c r="O40" s="185">
        <f ca="1">SUMIF('Inputs and Outputs'!$F$22:$H$22, Table1[[#This Row],[Use]], 'Inputs and Outputs'!$I$22:$I$22)</f>
        <v>0</v>
      </c>
      <c r="P40" s="101">
        <f ca="1">Table1[[#This Row],[Total sqm proposed / rooms]]/Table1[[#This Row],[sqm /rooms per emp.]]</f>
        <v>0</v>
      </c>
      <c r="Q40" t="s">
        <v>129</v>
      </c>
      <c r="R40" s="130">
        <v>9.4</v>
      </c>
      <c r="S40" s="192">
        <f ca="1">SUMIF('Inputs and Outputs'!$F$22:$H$22, Table1[[#This Row],[Use]], 'Inputs and Outputs'!$F$30)</f>
        <v>0</v>
      </c>
      <c r="T40" s="195">
        <f ca="1">(Table1[[#This Row],[Com. Con. Cost]]/1000000)*Table1[[#This Row],[Cons. FTE per £1m]]</f>
        <v>0</v>
      </c>
      <c r="U40" s="73"/>
    </row>
    <row r="41" spans="2:23" x14ac:dyDescent="0.25">
      <c r="B41" s="76"/>
      <c r="D41" s="72" t="s">
        <v>159</v>
      </c>
      <c r="E41" s="111">
        <f ca="1">SUMIF(Table1[Use],D41,Table1[Total sqm proposed / rooms])</f>
        <v>0</v>
      </c>
      <c r="F41" s="111">
        <f ca="1">SUMIF(Table1[Use],D41,Table1[Est. num. emp. - operations])</f>
        <v>0</v>
      </c>
      <c r="G41" s="108"/>
      <c r="I41" s="73"/>
      <c r="K41" s="76"/>
      <c r="M41" t="s">
        <v>152</v>
      </c>
      <c r="N41" s="100">
        <v>10</v>
      </c>
      <c r="O41" s="185">
        <f ca="1">SUMIF('Inputs and Outputs'!$F$22:$H$22, Table1[[#This Row],[Use]], 'Inputs and Outputs'!$I$22:$I$22)</f>
        <v>0</v>
      </c>
      <c r="P41" s="101">
        <f ca="1">Table1[[#This Row],[Total sqm proposed / rooms]]/Table1[[#This Row],[sqm /rooms per emp.]]</f>
        <v>0</v>
      </c>
      <c r="Q41" t="s">
        <v>129</v>
      </c>
      <c r="R41" s="130">
        <v>9.4</v>
      </c>
      <c r="S41" s="192">
        <f ca="1">SUMIF('Inputs and Outputs'!$F$22:$H$22, Table1[[#This Row],[Use]], 'Inputs and Outputs'!$F$30)</f>
        <v>0</v>
      </c>
      <c r="T41" s="195">
        <f ca="1">(Table1[[#This Row],[Com. Con. Cost]]/1000000)*Table1[[#This Row],[Cons. FTE per £1m]]</f>
        <v>0</v>
      </c>
      <c r="U41" s="73"/>
      <c r="W41" s="194"/>
    </row>
    <row r="42" spans="2:23" x14ac:dyDescent="0.25">
      <c r="B42" s="76"/>
      <c r="D42" s="112" t="s">
        <v>18</v>
      </c>
      <c r="E42" s="113">
        <f ca="1">SUM(E35:E41)</f>
        <v>0</v>
      </c>
      <c r="F42" s="113">
        <f ca="1">SUM(F35:F41)</f>
        <v>0</v>
      </c>
      <c r="G42" s="108"/>
      <c r="I42" s="73"/>
      <c r="K42" s="76"/>
      <c r="M42" t="s">
        <v>154</v>
      </c>
      <c r="N42" s="100">
        <v>12</v>
      </c>
      <c r="O42" s="185">
        <f ca="1">SUMIF('Inputs and Outputs'!$F$22:$H$22, Table1[[#This Row],[Use]], 'Inputs and Outputs'!$I$22:$I$22)</f>
        <v>0</v>
      </c>
      <c r="P42" s="101">
        <f ca="1">Table1[[#This Row],[Total sqm proposed / rooms]]/Table1[[#This Row],[sqm /rooms per emp.]]</f>
        <v>0</v>
      </c>
      <c r="Q42" t="s">
        <v>129</v>
      </c>
      <c r="R42" s="130">
        <v>9.4</v>
      </c>
      <c r="S42" s="192">
        <f ca="1">SUMIF('Inputs and Outputs'!$F$22:$H$22, Table1[[#This Row],[Use]], 'Inputs and Outputs'!$F$30)</f>
        <v>0</v>
      </c>
      <c r="T42" s="195">
        <f ca="1">(Table1[[#This Row],[Com. Con. Cost]]/1000000)*Table1[[#This Row],[Cons. FTE per £1m]]</f>
        <v>0</v>
      </c>
      <c r="U42" s="73"/>
    </row>
    <row r="43" spans="2:23" x14ac:dyDescent="0.25">
      <c r="B43" s="76"/>
      <c r="I43" s="73"/>
      <c r="K43" s="76"/>
      <c r="M43" t="s">
        <v>156</v>
      </c>
      <c r="N43" s="100">
        <v>12</v>
      </c>
      <c r="O43" s="185">
        <f ca="1">SUMIF('Inputs and Outputs'!$F$22:$H$22, Table1[[#This Row],[Use]], 'Inputs and Outputs'!$I$22:$I$22)</f>
        <v>0</v>
      </c>
      <c r="P43" s="101">
        <f ca="1">Table1[[#This Row],[Total sqm proposed / rooms]]/Table1[[#This Row],[sqm /rooms per emp.]]</f>
        <v>0</v>
      </c>
      <c r="Q43" t="s">
        <v>129</v>
      </c>
      <c r="R43" s="130">
        <v>9.4</v>
      </c>
      <c r="S43" s="192">
        <f ca="1">SUMIF('Inputs and Outputs'!$F$22:$H$22, Table1[[#This Row],[Use]], 'Inputs and Outputs'!$F$30)</f>
        <v>0</v>
      </c>
      <c r="T43" s="195">
        <f ca="1">(Table1[[#This Row],[Com. Con. Cost]]/1000000)*Table1[[#This Row],[Cons. FTE per £1m]]</f>
        <v>0</v>
      </c>
      <c r="U43" s="73"/>
    </row>
    <row r="44" spans="2:23" x14ac:dyDescent="0.25">
      <c r="B44" s="76"/>
      <c r="D44" t="s">
        <v>161</v>
      </c>
      <c r="E44" s="80">
        <v>24</v>
      </c>
      <c r="G44" s="114" t="s">
        <v>162</v>
      </c>
      <c r="H44" s="115"/>
      <c r="I44" s="73"/>
      <c r="K44" s="76"/>
      <c r="M44" t="s">
        <v>158</v>
      </c>
      <c r="N44" s="100">
        <v>11</v>
      </c>
      <c r="O44" s="185">
        <f ca="1">SUMIF('Inputs and Outputs'!$F$22:$H$22, Table1[[#This Row],[Use]], 'Inputs and Outputs'!$I$22:$I$22)</f>
        <v>0</v>
      </c>
      <c r="P44" s="101">
        <f ca="1">Table1[[#This Row],[Total sqm proposed / rooms]]/Table1[[#This Row],[sqm /rooms per emp.]]</f>
        <v>0</v>
      </c>
      <c r="Q44" t="s">
        <v>129</v>
      </c>
      <c r="R44" s="130">
        <v>9.4</v>
      </c>
      <c r="S44" s="192">
        <f ca="1">SUMIF('Inputs and Outputs'!$F$22:$H$22, Table1[[#This Row],[Use]], 'Inputs and Outputs'!$F$30)</f>
        <v>0</v>
      </c>
      <c r="T44" s="195">
        <f ca="1">(Table1[[#This Row],[Com. Con. Cost]]/1000000)*Table1[[#This Row],[Cons. FTE per £1m]]</f>
        <v>0</v>
      </c>
      <c r="U44" s="73"/>
    </row>
    <row r="45" spans="2:23" x14ac:dyDescent="0.25">
      <c r="B45" s="76"/>
      <c r="D45" t="s">
        <v>163</v>
      </c>
      <c r="E45" s="116">
        <f>H49</f>
        <v>560416.66666666605</v>
      </c>
      <c r="G45" s="117" t="s">
        <v>164</v>
      </c>
      <c r="H45" s="118" t="s">
        <v>165</v>
      </c>
      <c r="I45" s="73"/>
      <c r="K45" s="76"/>
      <c r="M45" t="s">
        <v>160</v>
      </c>
      <c r="N45" s="100">
        <v>50</v>
      </c>
      <c r="O45" s="185">
        <f ca="1">SUMIF('Inputs and Outputs'!$F$22:$H$22, Table1[[#This Row],[Use]], 'Inputs and Outputs'!$I$22:$I$22)</f>
        <v>0</v>
      </c>
      <c r="P45" s="101">
        <f ca="1">Table1[[#This Row],[Total sqm proposed / rooms]]/Table1[[#This Row],[sqm /rooms per emp.]]</f>
        <v>0</v>
      </c>
      <c r="Q45" t="s">
        <v>136</v>
      </c>
      <c r="R45" s="130">
        <v>7.1</v>
      </c>
      <c r="S45" s="192">
        <f ca="1">SUMIF('Inputs and Outputs'!$F$22:$H$22, Table1[[#This Row],[Use]], 'Inputs and Outputs'!$F$30)</f>
        <v>0</v>
      </c>
      <c r="T45" s="195">
        <f ca="1">(Table1[[#This Row],[Com. Con. Cost]]/1000000)*Table1[[#This Row],[Cons. FTE per £1m]]</f>
        <v>0</v>
      </c>
      <c r="U45" s="73"/>
    </row>
    <row r="46" spans="2:23" x14ac:dyDescent="0.25">
      <c r="B46" s="76"/>
      <c r="D46" s="84" t="s">
        <v>166</v>
      </c>
      <c r="E46" s="211">
        <f>E45/10000</f>
        <v>56.041666666666607</v>
      </c>
      <c r="G46" s="80">
        <v>100</v>
      </c>
      <c r="H46" s="120">
        <v>100</v>
      </c>
      <c r="I46" s="73"/>
      <c r="K46" s="76"/>
      <c r="M46" t="s">
        <v>167</v>
      </c>
      <c r="N46" s="100">
        <v>18</v>
      </c>
      <c r="O46" s="185">
        <f ca="1">SUMIF('Inputs and Outputs'!$F$22:$H$22, Table1[[#This Row],[Use]], 'Inputs and Outputs'!$I$22:$I$22)</f>
        <v>0</v>
      </c>
      <c r="P46" s="101">
        <f ca="1">Table1[[#This Row],[Total sqm proposed / rooms]]/Table1[[#This Row],[sqm /rooms per emp.]]</f>
        <v>0</v>
      </c>
      <c r="Q46" t="s">
        <v>129</v>
      </c>
      <c r="R46" s="130">
        <v>9.4</v>
      </c>
      <c r="S46" s="192">
        <f ca="1">SUMIF('Inputs and Outputs'!$F$22:$H$22, Table1[[#This Row],[Use]], 'Inputs and Outputs'!$F$30)</f>
        <v>0</v>
      </c>
      <c r="T46" s="195">
        <f ca="1">(Table1[[#This Row],[Com. Con. Cost]]/1000000)*Table1[[#This Row],[Cons. FTE per £1m]]</f>
        <v>0</v>
      </c>
      <c r="U46" s="73"/>
    </row>
    <row r="47" spans="2:23" x14ac:dyDescent="0.25">
      <c r="B47" s="76"/>
      <c r="D47" t="s">
        <v>168</v>
      </c>
      <c r="E47" s="172">
        <f>E44*E46</f>
        <v>1344.9999999999986</v>
      </c>
      <c r="G47" s="121">
        <f>H46/G46</f>
        <v>1</v>
      </c>
      <c r="H47" s="122" t="s">
        <v>169</v>
      </c>
      <c r="I47" s="73"/>
      <c r="K47" s="76"/>
      <c r="M47" t="s">
        <v>170</v>
      </c>
      <c r="N47" s="100">
        <v>18</v>
      </c>
      <c r="O47" s="185">
        <f ca="1">SUMIF('Inputs and Outputs'!$F$22:$H$22, Table1[[#This Row],[Use]], 'Inputs and Outputs'!$I$22:$I$22)</f>
        <v>0</v>
      </c>
      <c r="P47" s="101">
        <f ca="1">Table1[[#This Row],[Total sqm proposed / rooms]]/Table1[[#This Row],[sqm /rooms per emp.]]</f>
        <v>0</v>
      </c>
      <c r="Q47" t="s">
        <v>129</v>
      </c>
      <c r="R47" s="130">
        <v>9.4</v>
      </c>
      <c r="S47" s="192">
        <f ca="1">SUMIF('Inputs and Outputs'!$F$22:$H$22, Table1[[#This Row],[Use]], 'Inputs and Outputs'!$F$30)</f>
        <v>0</v>
      </c>
      <c r="T47" s="195">
        <f ca="1">(Table1[[#This Row],[Com. Con. Cost]]/1000000)*Table1[[#This Row],[Cons. FTE per £1m]]</f>
        <v>0</v>
      </c>
      <c r="U47" s="73"/>
    </row>
    <row r="48" spans="2:23" x14ac:dyDescent="0.25">
      <c r="B48" s="76"/>
      <c r="D48" s="151" t="s">
        <v>171</v>
      </c>
      <c r="E48" s="173">
        <v>1000</v>
      </c>
      <c r="G48" s="121" t="s">
        <v>172</v>
      </c>
      <c r="H48" s="123">
        <v>560416.66666666605</v>
      </c>
      <c r="I48" s="73"/>
      <c r="K48" s="76"/>
      <c r="M48" t="s">
        <v>173</v>
      </c>
      <c r="N48" s="100">
        <v>18</v>
      </c>
      <c r="O48" s="185">
        <f ca="1">SUMIF('Inputs and Outputs'!$F$22:$H$22, Table1[[#This Row],[Use]], 'Inputs and Outputs'!$I$22:$I$22)</f>
        <v>0</v>
      </c>
      <c r="P48" s="101">
        <f ca="1">Table1[[#This Row],[Total sqm proposed / rooms]]/Table1[[#This Row],[sqm /rooms per emp.]]</f>
        <v>0</v>
      </c>
      <c r="Q48" t="s">
        <v>129</v>
      </c>
      <c r="R48" s="130">
        <v>9.4</v>
      </c>
      <c r="S48" s="192">
        <f ca="1">SUMIF('Inputs and Outputs'!$F$22:$H$22, Table1[[#This Row],[Use]], 'Inputs and Outputs'!$F$30)</f>
        <v>0</v>
      </c>
      <c r="T48" s="195">
        <f ca="1">(Table1[[#This Row],[Com. Con. Cost]]/1000000)*Table1[[#This Row],[Cons. FTE per £1m]]</f>
        <v>0</v>
      </c>
      <c r="U48" s="73"/>
    </row>
    <row r="49" spans="2:21" x14ac:dyDescent="0.25">
      <c r="B49" s="76"/>
      <c r="D49" s="151" t="s">
        <v>174</v>
      </c>
      <c r="E49" s="72">
        <v>9</v>
      </c>
      <c r="G49" s="124" t="s">
        <v>175</v>
      </c>
      <c r="H49" s="119">
        <f>G47*H48</f>
        <v>560416.66666666605</v>
      </c>
      <c r="I49" s="73"/>
      <c r="K49" s="76"/>
      <c r="M49" t="s">
        <v>176</v>
      </c>
      <c r="N49" s="100">
        <v>90</v>
      </c>
      <c r="O49" s="185">
        <f ca="1">SUMIF('Inputs and Outputs'!$F$22:$H$22, Table1[[#This Row],[Use]], 'Inputs and Outputs'!$I$22:$I$22)</f>
        <v>0</v>
      </c>
      <c r="P49" s="101">
        <f ca="1">Table1[[#This Row],[Total sqm proposed / rooms]]/Table1[[#This Row],[sqm /rooms per emp.]]</f>
        <v>0</v>
      </c>
      <c r="Q49" t="s">
        <v>129</v>
      </c>
      <c r="R49" s="130">
        <v>9.4</v>
      </c>
      <c r="S49" s="192">
        <f ca="1">SUMIF('Inputs and Outputs'!$F$22:$H$22, Table1[[#This Row],[Use]], 'Inputs and Outputs'!$F$30)</f>
        <v>0</v>
      </c>
      <c r="T49" s="195">
        <f ca="1">(Table1[[#This Row],[Com. Con. Cost]]/1000000)*Table1[[#This Row],[Cons. FTE per £1m]]</f>
        <v>0</v>
      </c>
      <c r="U49" s="73"/>
    </row>
    <row r="50" spans="2:21" x14ac:dyDescent="0.25">
      <c r="B50" s="76"/>
      <c r="D50" s="151" t="s">
        <v>177</v>
      </c>
      <c r="E50" s="72">
        <v>10</v>
      </c>
      <c r="H50" s="78"/>
      <c r="I50" s="73"/>
      <c r="K50" s="76"/>
      <c r="M50" t="s">
        <v>178</v>
      </c>
      <c r="N50" s="100">
        <v>13</v>
      </c>
      <c r="O50" s="185">
        <f ca="1">SUMIF('Inputs and Outputs'!$F$22:$H$22, Table1[[#This Row],[Use]], 'Inputs and Outputs'!$I$22:$I$22)</f>
        <v>0</v>
      </c>
      <c r="P50" s="101">
        <f ca="1">Table1[[#This Row],[Total sqm proposed / rooms]]/Table1[[#This Row],[sqm /rooms per emp.]]</f>
        <v>0</v>
      </c>
      <c r="Q50" t="s">
        <v>129</v>
      </c>
      <c r="R50" s="130">
        <v>9.4</v>
      </c>
      <c r="S50" s="192">
        <f ca="1">SUMIF('Inputs and Outputs'!$F$22:$H$22, Table1[[#This Row],[Use]], 'Inputs and Outputs'!$F$30)</f>
        <v>0</v>
      </c>
      <c r="T50" s="195">
        <f ca="1">(Table1[[#This Row],[Com. Con. Cost]]/1000000)*Table1[[#This Row],[Cons. FTE per £1m]]</f>
        <v>0</v>
      </c>
      <c r="U50" s="73"/>
    </row>
    <row r="51" spans="2:21" x14ac:dyDescent="0.25">
      <c r="B51" s="76"/>
      <c r="H51" s="78"/>
      <c r="I51" s="73"/>
      <c r="K51" s="76"/>
      <c r="M51" t="s">
        <v>179</v>
      </c>
      <c r="N51" s="100">
        <v>45</v>
      </c>
      <c r="O51" s="185">
        <f ca="1">SUMIF('Inputs and Outputs'!$F$22:$H$22, Table1[[#This Row],[Use]], 'Inputs and Outputs'!$I$22:$I$22)</f>
        <v>0</v>
      </c>
      <c r="P51" s="101">
        <f ca="1">Table1[[#This Row],[Total sqm proposed / rooms]]/Table1[[#This Row],[sqm /rooms per emp.]]</f>
        <v>0</v>
      </c>
      <c r="Q51" t="s">
        <v>129</v>
      </c>
      <c r="R51" s="130">
        <v>9.4</v>
      </c>
      <c r="S51" s="192">
        <f ca="1">SUMIF('Inputs and Outputs'!$F$22:$H$22, Table1[[#This Row],[Use]], 'Inputs and Outputs'!$F$30)</f>
        <v>0</v>
      </c>
      <c r="T51" s="195">
        <f ca="1">(Table1[[#This Row],[Com. Con. Cost]]/1000000)*Table1[[#This Row],[Cons. FTE per £1m]]</f>
        <v>0</v>
      </c>
      <c r="U51" s="73"/>
    </row>
    <row r="52" spans="2:21" x14ac:dyDescent="0.25">
      <c r="B52" s="76"/>
      <c r="D52" t="s">
        <v>180</v>
      </c>
      <c r="E52" s="125">
        <v>0.51</v>
      </c>
      <c r="I52" s="73"/>
      <c r="K52" s="76"/>
      <c r="M52" t="s">
        <v>181</v>
      </c>
      <c r="N52" s="100">
        <v>28</v>
      </c>
      <c r="O52" s="185">
        <f ca="1">SUMIF('Inputs and Outputs'!$F$22:$H$22, Table1[[#This Row],[Use]], 'Inputs and Outputs'!$I$22:$I$22)</f>
        <v>0</v>
      </c>
      <c r="P52" s="101">
        <f ca="1">Table1[[#This Row],[Total sqm proposed / rooms]]/Table1[[#This Row],[sqm /rooms per emp.]]</f>
        <v>0</v>
      </c>
      <c r="Q52" t="s">
        <v>129</v>
      </c>
      <c r="R52" s="130">
        <v>9.4</v>
      </c>
      <c r="S52" s="192">
        <f ca="1">SUMIF('Inputs and Outputs'!$F$22:$H$22, Table1[[#This Row],[Use]], 'Inputs and Outputs'!$F$30)</f>
        <v>0</v>
      </c>
      <c r="T52" s="195">
        <f ca="1">(Table1[[#This Row],[Com. Con. Cost]]/1000000)*Table1[[#This Row],[Cons. FTE per £1m]]</f>
        <v>0</v>
      </c>
      <c r="U52" s="73"/>
    </row>
    <row r="53" spans="2:21" x14ac:dyDescent="0.25">
      <c r="B53" s="76"/>
      <c r="D53" t="s">
        <v>182</v>
      </c>
      <c r="E53" s="125">
        <v>0.5</v>
      </c>
      <c r="I53" s="73"/>
      <c r="K53" s="76"/>
      <c r="M53" t="s">
        <v>183</v>
      </c>
      <c r="N53" s="100">
        <v>30</v>
      </c>
      <c r="O53" s="185">
        <f ca="1">SUMIF('Inputs and Outputs'!$F$22:$H$22, Table1[[#This Row],[Use]], 'Inputs and Outputs'!$I$22:$I$22)</f>
        <v>0</v>
      </c>
      <c r="P53" s="101">
        <f ca="1">Table1[[#This Row],[Total sqm proposed / rooms]]/Table1[[#This Row],[sqm /rooms per emp.]]</f>
        <v>0</v>
      </c>
      <c r="Q53" t="s">
        <v>129</v>
      </c>
      <c r="R53" s="130">
        <v>9.4</v>
      </c>
      <c r="S53" s="192">
        <f ca="1">SUMIF('Inputs and Outputs'!$F$22:$H$22, Table1[[#This Row],[Use]], 'Inputs and Outputs'!$F$30)</f>
        <v>0</v>
      </c>
      <c r="T53" s="195">
        <f ca="1">(Table1[[#This Row],[Com. Con. Cost]]/1000000)*Table1[[#This Row],[Cons. FTE per £1m]]</f>
        <v>0</v>
      </c>
      <c r="U53" s="73"/>
    </row>
    <row r="54" spans="2:21" x14ac:dyDescent="0.25">
      <c r="B54" s="76"/>
      <c r="D54" t="s">
        <v>184</v>
      </c>
      <c r="E54" s="119">
        <f>E47*E52*E53</f>
        <v>342.97499999999968</v>
      </c>
      <c r="I54" s="73"/>
      <c r="K54" s="76"/>
      <c r="M54" t="s">
        <v>185</v>
      </c>
      <c r="N54" s="100">
        <v>30</v>
      </c>
      <c r="O54" s="185">
        <f ca="1">SUMIF('Inputs and Outputs'!$F$22:$H$22, Table1[[#This Row],[Use]], 'Inputs and Outputs'!$I$22:$I$22)</f>
        <v>0</v>
      </c>
      <c r="P54" s="101">
        <f ca="1">Table1[[#This Row],[Total sqm proposed / rooms]]/Table1[[#This Row],[sqm /rooms per emp.]]</f>
        <v>0</v>
      </c>
      <c r="Q54" t="s">
        <v>129</v>
      </c>
      <c r="R54" s="130">
        <v>9.4</v>
      </c>
      <c r="S54" s="192">
        <f ca="1">SUMIF('Inputs and Outputs'!$F$22:$H$22, Table1[[#This Row],[Use]], 'Inputs and Outputs'!$F$30)</f>
        <v>0</v>
      </c>
      <c r="T54" s="195">
        <f ca="1">(Table1[[#This Row],[Com. Con. Cost]]/1000000)*Table1[[#This Row],[Cons. FTE per £1m]]</f>
        <v>0</v>
      </c>
      <c r="U54" s="73"/>
    </row>
    <row r="55" spans="2:21" x14ac:dyDescent="0.25">
      <c r="B55" s="76"/>
      <c r="D55" t="s">
        <v>186</v>
      </c>
      <c r="E55" s="72">
        <f>E44*E52*E53</f>
        <v>6.12</v>
      </c>
      <c r="I55" s="73"/>
      <c r="K55" s="76"/>
      <c r="M55" t="s">
        <v>187</v>
      </c>
      <c r="N55" s="100">
        <v>70</v>
      </c>
      <c r="O55" s="185">
        <f ca="1">SUMIF('Inputs and Outputs'!$F$22:$H$22, Table1[[#This Row],[Use]], 'Inputs and Outputs'!$I$22:$I$22)</f>
        <v>0</v>
      </c>
      <c r="P55" s="101">
        <f ca="1">Table1[[#This Row],[Total sqm proposed / rooms]]/Table1[[#This Row],[sqm /rooms per emp.]]</f>
        <v>0</v>
      </c>
      <c r="Q55" t="s">
        <v>136</v>
      </c>
      <c r="R55" s="130">
        <v>7.1</v>
      </c>
      <c r="S55" s="192">
        <f ca="1">SUMIF('Inputs and Outputs'!$F$22:$H$22, Table1[[#This Row],[Use]], 'Inputs and Outputs'!$F$30)</f>
        <v>0</v>
      </c>
      <c r="T55" s="195">
        <f ca="1">(Table1[[#This Row],[Com. Con. Cost]]/1000000)*Table1[[#This Row],[Cons. FTE per £1m]]</f>
        <v>0</v>
      </c>
      <c r="U55" s="73"/>
    </row>
    <row r="56" spans="2:21" x14ac:dyDescent="0.25">
      <c r="B56" s="76"/>
      <c r="I56" s="73"/>
      <c r="K56" s="76"/>
      <c r="M56" t="s">
        <v>188</v>
      </c>
      <c r="N56" s="100">
        <v>95</v>
      </c>
      <c r="O56" s="185">
        <f ca="1">SUMIF('Inputs and Outputs'!$F$22:$H$22, Table1[[#This Row],[Use]], 'Inputs and Outputs'!$I$22:$I$22)</f>
        <v>0</v>
      </c>
      <c r="P56" s="101">
        <f ca="1">Table1[[#This Row],[Total sqm proposed / rooms]]/Table1[[#This Row],[sqm /rooms per emp.]]</f>
        <v>0</v>
      </c>
      <c r="Q56" t="s">
        <v>136</v>
      </c>
      <c r="R56" s="130">
        <v>7.1</v>
      </c>
      <c r="S56" s="192">
        <f ca="1">SUMIF('Inputs and Outputs'!$F$22:$H$22, Table1[[#This Row],[Use]], 'Inputs and Outputs'!$F$30)</f>
        <v>0</v>
      </c>
      <c r="T56" s="195">
        <f ca="1">(Table1[[#This Row],[Com. Con. Cost]]/1000000)*Table1[[#This Row],[Cons. FTE per £1m]]</f>
        <v>0</v>
      </c>
      <c r="U56" s="73"/>
    </row>
    <row r="57" spans="2:21" x14ac:dyDescent="0.25">
      <c r="B57" s="76"/>
      <c r="I57" s="73"/>
      <c r="K57" s="76"/>
      <c r="M57" t="s">
        <v>189</v>
      </c>
      <c r="N57" s="100">
        <v>77</v>
      </c>
      <c r="O57" s="185">
        <f ca="1">SUMIF('Inputs and Outputs'!$F$22:$H$22, Table1[[#This Row],[Use]], 'Inputs and Outputs'!$I$22:$I$22)</f>
        <v>0</v>
      </c>
      <c r="P57" s="101">
        <f ca="1">Table1[[#This Row],[Total sqm proposed / rooms]]/Table1[[#This Row],[sqm /rooms per emp.]]</f>
        <v>0</v>
      </c>
      <c r="Q57" t="s">
        <v>136</v>
      </c>
      <c r="R57" s="130">
        <v>7.1</v>
      </c>
      <c r="S57" s="192">
        <f ca="1">SUMIF('Inputs and Outputs'!$F$22:$H$22, Table1[[#This Row],[Use]], 'Inputs and Outputs'!$F$30)</f>
        <v>0</v>
      </c>
      <c r="T57" s="195">
        <f ca="1">(Table1[[#This Row],[Com. Con. Cost]]/1000000)*Table1[[#This Row],[Cons. FTE per £1m]]</f>
        <v>0</v>
      </c>
      <c r="U57" s="73"/>
    </row>
    <row r="58" spans="2:21" x14ac:dyDescent="0.25">
      <c r="B58" s="76"/>
      <c r="I58" s="73"/>
      <c r="K58" s="76"/>
      <c r="M58" t="s">
        <v>190</v>
      </c>
      <c r="N58" s="100">
        <v>165</v>
      </c>
      <c r="O58" s="185">
        <f ca="1">SUMIF('Inputs and Outputs'!$F$22:$H$22, Table1[[#This Row],[Use]], 'Inputs and Outputs'!$I$22:$I$22)</f>
        <v>0</v>
      </c>
      <c r="P58" s="101">
        <f ca="1">Table1[[#This Row],[Total sqm proposed / rooms]]/Table1[[#This Row],[sqm /rooms per emp.]]</f>
        <v>0</v>
      </c>
      <c r="Q58" t="s">
        <v>127</v>
      </c>
      <c r="R58" s="130">
        <v>11.9</v>
      </c>
      <c r="S58" s="192">
        <f ca="1">SUMIF('Inputs and Outputs'!$F$22:$H$22, Table1[[#This Row],[Use]], 'Inputs and Outputs'!$F$30)</f>
        <v>0</v>
      </c>
      <c r="T58" s="195">
        <f ca="1">(Table1[[#This Row],[Com. Con. Cost]]/1000000)*Table1[[#This Row],[Cons. FTE per £1m]]</f>
        <v>0</v>
      </c>
      <c r="U58" s="73"/>
    </row>
    <row r="59" spans="2:21" ht="15.75" thickBot="1" x14ac:dyDescent="0.3">
      <c r="B59" s="94"/>
      <c r="C59" s="95"/>
      <c r="D59" s="95"/>
      <c r="E59" s="95"/>
      <c r="F59" s="95"/>
      <c r="G59" s="95"/>
      <c r="H59" s="95"/>
      <c r="I59" s="97"/>
      <c r="K59" s="76"/>
      <c r="N59" s="184"/>
      <c r="P59" s="101"/>
      <c r="R59" s="130"/>
      <c r="T59" s="193"/>
      <c r="U59" s="73"/>
    </row>
    <row r="60" spans="2:21" x14ac:dyDescent="0.25">
      <c r="K60" s="76"/>
      <c r="M60" s="105" t="s">
        <v>18</v>
      </c>
      <c r="N60" s="105"/>
      <c r="O60" s="105">
        <f ca="1">SUBTOTAL(109,Table1[Total sqm proposed / rooms])</f>
        <v>0</v>
      </c>
      <c r="P60" s="106">
        <f ca="1">SUBTOTAL(109,Table1[Est. num. emp. - operations])</f>
        <v>0</v>
      </c>
      <c r="Q60" s="183"/>
      <c r="R60" s="183"/>
      <c r="S60" s="183"/>
      <c r="T60" s="213">
        <f ca="1">SUBTOTAL(109,Table1[Est. num. emp. - construction])</f>
        <v>0</v>
      </c>
      <c r="U60" s="73"/>
    </row>
    <row r="61" spans="2:21" ht="15.75" thickBot="1" x14ac:dyDescent="0.3">
      <c r="K61" s="76"/>
      <c r="M61" s="186"/>
      <c r="N61" s="186"/>
      <c r="O61" s="186"/>
      <c r="P61" s="187"/>
      <c r="Q61" s="186"/>
      <c r="R61" s="186"/>
      <c r="S61" s="186"/>
      <c r="T61" s="186"/>
      <c r="U61" s="73"/>
    </row>
    <row r="62" spans="2:21" ht="26.45" customHeight="1" x14ac:dyDescent="0.25">
      <c r="B62" s="67"/>
      <c r="C62" s="68"/>
      <c r="D62" s="68"/>
      <c r="E62" s="68"/>
      <c r="F62" s="68"/>
      <c r="G62" s="68"/>
      <c r="H62" s="68"/>
      <c r="I62" s="69"/>
      <c r="K62" s="76"/>
      <c r="M62" s="205" t="s">
        <v>191</v>
      </c>
      <c r="N62" s="205" t="s">
        <v>123</v>
      </c>
      <c r="O62" s="205" t="s">
        <v>192</v>
      </c>
      <c r="P62" s="206"/>
      <c r="Q62" s="216"/>
      <c r="R62" s="186"/>
      <c r="S62" s="186"/>
      <c r="T62" s="186"/>
      <c r="U62" s="73"/>
    </row>
    <row r="63" spans="2:21" x14ac:dyDescent="0.25">
      <c r="B63" s="265" t="s">
        <v>193</v>
      </c>
      <c r="C63" s="232"/>
      <c r="D63" s="66" t="s">
        <v>194</v>
      </c>
      <c r="E63" s="126">
        <v>6784</v>
      </c>
      <c r="F63" t="s">
        <v>195</v>
      </c>
      <c r="G63" s="125">
        <v>0.03</v>
      </c>
      <c r="I63" s="73"/>
      <c r="K63" s="76"/>
      <c r="M63" s="196">
        <f>IF('Inputs and Outputs'!F29=0,0,IF(OR('Inputs and Outputs'!K16&gt;0,'Inputs and Outputs'!F18&gt;0),'Inputs and Outputs'!F29,""))</f>
        <v>0</v>
      </c>
      <c r="N63" s="197">
        <v>12.7</v>
      </c>
      <c r="O63" s="212">
        <f>(M63/1000000)*N63</f>
        <v>0</v>
      </c>
      <c r="Q63" s="217"/>
      <c r="U63" s="73"/>
    </row>
    <row r="64" spans="2:21" x14ac:dyDescent="0.25">
      <c r="B64" s="266"/>
      <c r="C64" s="232"/>
      <c r="D64" s="176" t="s">
        <v>196</v>
      </c>
      <c r="E64" s="127">
        <f>E63*P75</f>
        <v>7541.0128755364794</v>
      </c>
      <c r="F64" t="s">
        <v>197</v>
      </c>
      <c r="G64" s="128"/>
      <c r="I64" s="73"/>
      <c r="K64" s="76"/>
      <c r="Q64" s="136"/>
      <c r="R64" s="136"/>
      <c r="S64" s="136"/>
      <c r="T64" s="136"/>
      <c r="U64" s="73"/>
    </row>
    <row r="65" spans="2:21" ht="45" x14ac:dyDescent="0.25">
      <c r="B65" s="94"/>
      <c r="C65" s="95"/>
      <c r="D65" s="95"/>
      <c r="E65" s="95"/>
      <c r="F65" s="95"/>
      <c r="G65" s="95"/>
      <c r="H65" s="95"/>
      <c r="I65" s="97"/>
      <c r="K65" s="76"/>
      <c r="M65" s="136" t="s">
        <v>198</v>
      </c>
      <c r="N65" s="215" t="s">
        <v>199</v>
      </c>
      <c r="O65" s="215" t="s">
        <v>200</v>
      </c>
      <c r="P65" s="215" t="s">
        <v>201</v>
      </c>
      <c r="Q65" s="215" t="s">
        <v>202</v>
      </c>
      <c r="R65" s="215" t="s">
        <v>203</v>
      </c>
      <c r="S65" s="136"/>
      <c r="T65" s="136"/>
      <c r="U65" s="73"/>
    </row>
    <row r="66" spans="2:21" x14ac:dyDescent="0.25">
      <c r="E66" s="129"/>
      <c r="K66" s="76"/>
      <c r="L66" t="s">
        <v>204</v>
      </c>
      <c r="M66" s="137">
        <v>0.1</v>
      </c>
      <c r="N66" s="138">
        <v>0.5</v>
      </c>
      <c r="O66" s="116">
        <f>N78*$P$75</f>
        <v>531.39463519313301</v>
      </c>
      <c r="P66" s="139">
        <f ca="1">(ROUNDUP((N66*Table1[[#Totals],[Est. num. emp. - operations]]),0))*O66</f>
        <v>0</v>
      </c>
      <c r="Q66" s="218">
        <f>(ROUNDUP((M66*O63),0))*O66</f>
        <v>0</v>
      </c>
      <c r="R66" s="139">
        <f ca="1">(ROUNDUP((M66*T60),0))*O66</f>
        <v>0</v>
      </c>
      <c r="S66" s="131"/>
      <c r="T66" s="131"/>
      <c r="U66" s="73"/>
    </row>
    <row r="67" spans="2:21" x14ac:dyDescent="0.25">
      <c r="K67" s="76"/>
      <c r="L67" t="s">
        <v>205</v>
      </c>
      <c r="M67" s="137">
        <v>0.05</v>
      </c>
      <c r="N67" s="138">
        <v>0.05</v>
      </c>
      <c r="O67" s="116">
        <f t="shared" ref="O67:O69" si="1">N79*$P$75</f>
        <v>813.3711587982832</v>
      </c>
      <c r="P67" s="139">
        <f ca="1">((ROUNDUP((N67*Table1[[#Totals],[Est. num. emp. - operations]]),0))*O67)*(1+N71)</f>
        <v>0</v>
      </c>
      <c r="Q67" s="218">
        <f>((ROUNDUP((M67*O63),0))*O67)*(1+N71)</f>
        <v>0</v>
      </c>
      <c r="R67" s="139">
        <f ca="1">((ROUNDUP((M67*T60),0))*O67)*(1+N71)</f>
        <v>0</v>
      </c>
      <c r="S67" s="131"/>
      <c r="T67" s="131"/>
      <c r="U67" s="73"/>
    </row>
    <row r="68" spans="2:21" x14ac:dyDescent="0.25">
      <c r="B68" s="84" t="s">
        <v>1</v>
      </c>
      <c r="K68" s="76"/>
      <c r="L68" t="s">
        <v>206</v>
      </c>
      <c r="M68" s="137">
        <v>0.15</v>
      </c>
      <c r="N68" s="138">
        <v>0.2</v>
      </c>
      <c r="O68" s="116">
        <f t="shared" si="1"/>
        <v>813.3711587982832</v>
      </c>
      <c r="P68" s="139">
        <f ca="1">(ROUNDUP((N68*Table1[[#Totals],[Est. num. emp. - operations]]),0))*O68</f>
        <v>0</v>
      </c>
      <c r="Q68" s="218">
        <f>(ROUNDUP((M68*O63),0))*O68</f>
        <v>0</v>
      </c>
      <c r="R68" s="139">
        <f ca="1">(ROUNDUP((M68*T60),0))*O68</f>
        <v>0</v>
      </c>
      <c r="S68" s="131"/>
      <c r="T68" s="131"/>
      <c r="U68" s="73"/>
    </row>
    <row r="69" spans="2:21" x14ac:dyDescent="0.25">
      <c r="C69" s="80"/>
      <c r="D69" s="72" t="s">
        <v>207</v>
      </c>
      <c r="K69" s="76"/>
      <c r="L69" t="s">
        <v>208</v>
      </c>
      <c r="M69" s="137">
        <v>0.1</v>
      </c>
      <c r="N69" s="138">
        <v>0.1</v>
      </c>
      <c r="O69" s="116">
        <f t="shared" si="1"/>
        <v>406.6855793991416</v>
      </c>
      <c r="P69" s="139">
        <f ca="1">(ROUNDUP((N69*Table1[[#Totals],[Est. num. emp. - operations]]),0))*O69</f>
        <v>0</v>
      </c>
      <c r="Q69" s="218">
        <f>(ROUNDUP((M69*O63),0))*O69</f>
        <v>0</v>
      </c>
      <c r="R69" s="139">
        <f ca="1">(ROUNDUP((M69*T60),0))*O69</f>
        <v>0</v>
      </c>
      <c r="S69" s="131"/>
      <c r="T69" s="131"/>
      <c r="U69" s="73"/>
    </row>
    <row r="70" spans="2:21" x14ac:dyDescent="0.25">
      <c r="C70" s="120"/>
      <c r="D70" s="72" t="s">
        <v>209</v>
      </c>
      <c r="K70" s="76"/>
      <c r="M70" s="140"/>
      <c r="N70" s="141"/>
      <c r="O70" s="131"/>
      <c r="P70" s="142">
        <f ca="1">SUM(P66:P69)</f>
        <v>0</v>
      </c>
      <c r="Q70" s="142">
        <f>SUM(Q66:Q69)</f>
        <v>0</v>
      </c>
      <c r="R70" s="214">
        <f ca="1">SUM(R66:R69)</f>
        <v>0</v>
      </c>
      <c r="S70" s="190"/>
      <c r="T70" s="190"/>
      <c r="U70" s="73"/>
    </row>
    <row r="71" spans="2:21" x14ac:dyDescent="0.25">
      <c r="C71" s="72"/>
      <c r="D71" s="72" t="s">
        <v>210</v>
      </c>
      <c r="K71" s="76"/>
      <c r="M71" s="143" t="s">
        <v>211</v>
      </c>
      <c r="N71" s="144">
        <v>0.5</v>
      </c>
      <c r="O71" s="131"/>
      <c r="P71" s="131"/>
      <c r="Q71" s="219" t="s">
        <v>212</v>
      </c>
      <c r="R71" s="219">
        <f ca="1">SUM(Q70:R70)</f>
        <v>0</v>
      </c>
      <c r="S71" s="131"/>
      <c r="T71" s="131"/>
      <c r="U71" s="73"/>
    </row>
    <row r="72" spans="2:21" x14ac:dyDescent="0.25">
      <c r="C72" s="132"/>
      <c r="D72" s="72" t="s">
        <v>18</v>
      </c>
      <c r="K72" s="76"/>
      <c r="M72" s="145"/>
      <c r="N72" s="146"/>
      <c r="O72" s="131"/>
      <c r="P72" s="131"/>
      <c r="U72" s="73"/>
    </row>
    <row r="73" spans="2:21" x14ac:dyDescent="0.25">
      <c r="B73" s="84"/>
      <c r="K73" s="76"/>
      <c r="L73" s="114"/>
      <c r="M73" s="202"/>
      <c r="N73" s="203"/>
      <c r="O73" s="204"/>
      <c r="P73" s="204"/>
      <c r="Q73" s="147"/>
      <c r="R73" s="147"/>
      <c r="S73" s="147"/>
      <c r="T73" s="115"/>
      <c r="U73" s="73"/>
    </row>
    <row r="74" spans="2:21" x14ac:dyDescent="0.25">
      <c r="B74" s="133" t="s">
        <v>213</v>
      </c>
      <c r="K74" s="76"/>
      <c r="L74" s="121"/>
      <c r="M74" s="84" t="s">
        <v>162</v>
      </c>
      <c r="N74" s="199">
        <v>45017</v>
      </c>
      <c r="O74" s="200">
        <v>46113</v>
      </c>
      <c r="P74" s="201" t="s">
        <v>214</v>
      </c>
      <c r="T74" s="151"/>
      <c r="U74" s="73"/>
    </row>
    <row r="75" spans="2:21" x14ac:dyDescent="0.25">
      <c r="B75" s="134"/>
      <c r="C75" s="134" t="s">
        <v>215</v>
      </c>
      <c r="D75" t="s">
        <v>216</v>
      </c>
      <c r="E75" s="135" t="s">
        <v>217</v>
      </c>
      <c r="K75" s="76"/>
      <c r="L75" s="121"/>
      <c r="M75" s="66" t="s">
        <v>217</v>
      </c>
      <c r="N75" s="148" t="s">
        <v>218</v>
      </c>
      <c r="O75" s="149">
        <v>414.4</v>
      </c>
      <c r="P75" s="150">
        <f>O75/N75</f>
        <v>1.1115879828326178</v>
      </c>
      <c r="T75" s="151"/>
      <c r="U75" s="73"/>
    </row>
    <row r="76" spans="2:21" x14ac:dyDescent="0.25">
      <c r="B76" s="66"/>
      <c r="C76" s="66"/>
      <c r="D76" t="s">
        <v>219</v>
      </c>
      <c r="K76" s="76"/>
      <c r="L76" s="121"/>
      <c r="T76" s="151"/>
      <c r="U76" s="73"/>
    </row>
    <row r="77" spans="2:21" x14ac:dyDescent="0.25">
      <c r="B77" s="66"/>
      <c r="C77" s="66"/>
      <c r="D77" t="s">
        <v>220</v>
      </c>
      <c r="K77" s="76"/>
      <c r="L77" s="121"/>
      <c r="N77" s="152" t="s">
        <v>221</v>
      </c>
      <c r="T77" s="151"/>
      <c r="U77" s="73"/>
    </row>
    <row r="78" spans="2:21" x14ac:dyDescent="0.25">
      <c r="B78" s="66"/>
      <c r="C78" s="66"/>
      <c r="K78" s="76"/>
      <c r="L78" s="121"/>
      <c r="N78" s="123">
        <v>478.05</v>
      </c>
      <c r="T78" s="151"/>
      <c r="U78" s="73"/>
    </row>
    <row r="79" spans="2:21" x14ac:dyDescent="0.25">
      <c r="B79" s="134"/>
      <c r="C79" s="134" t="s">
        <v>54</v>
      </c>
      <c r="D79" t="s">
        <v>222</v>
      </c>
      <c r="K79" s="76"/>
      <c r="L79" s="121"/>
      <c r="N79" s="123">
        <v>731.72</v>
      </c>
      <c r="T79" s="151"/>
      <c r="U79" s="73"/>
    </row>
    <row r="80" spans="2:21" x14ac:dyDescent="0.25">
      <c r="B80" s="66"/>
      <c r="C80" s="66"/>
      <c r="D80" t="s">
        <v>223</v>
      </c>
      <c r="K80" s="76"/>
      <c r="L80" s="121"/>
      <c r="N80" s="123">
        <v>731.72</v>
      </c>
      <c r="T80" s="151"/>
      <c r="U80" s="73"/>
    </row>
    <row r="81" spans="2:21" x14ac:dyDescent="0.25">
      <c r="B81" s="66"/>
      <c r="C81" s="66"/>
      <c r="D81" t="s">
        <v>224</v>
      </c>
      <c r="K81" s="76"/>
      <c r="L81" s="121"/>
      <c r="N81" s="123">
        <v>365.86</v>
      </c>
      <c r="T81" s="151"/>
      <c r="U81" s="73"/>
    </row>
    <row r="82" spans="2:21" x14ac:dyDescent="0.25">
      <c r="B82" s="66"/>
      <c r="C82" s="66"/>
      <c r="G82" t="s">
        <v>225</v>
      </c>
      <c r="K82" s="76"/>
      <c r="L82" s="124"/>
      <c r="M82" s="157"/>
      <c r="N82" s="156"/>
      <c r="O82" s="157"/>
      <c r="P82" s="157"/>
      <c r="Q82" s="157"/>
      <c r="R82" s="157"/>
      <c r="S82" s="157"/>
      <c r="T82" s="158"/>
      <c r="U82" s="73"/>
    </row>
    <row r="83" spans="2:21" x14ac:dyDescent="0.25">
      <c r="B83" s="134"/>
      <c r="C83" s="134" t="s">
        <v>86</v>
      </c>
      <c r="D83" t="s">
        <v>226</v>
      </c>
      <c r="E83" s="135" t="s">
        <v>227</v>
      </c>
      <c r="G83" s="84" t="s">
        <v>99</v>
      </c>
      <c r="H83" s="84" t="s">
        <v>100</v>
      </c>
      <c r="K83" s="76"/>
      <c r="N83" s="198"/>
      <c r="U83" s="73"/>
    </row>
    <row r="84" spans="2:21" x14ac:dyDescent="0.25">
      <c r="B84" s="66"/>
      <c r="C84" s="66"/>
      <c r="D84" t="s">
        <v>228</v>
      </c>
      <c r="G84" s="168">
        <v>23169</v>
      </c>
      <c r="H84" s="169">
        <v>31867</v>
      </c>
      <c r="K84" s="76"/>
      <c r="L84" t="s">
        <v>229</v>
      </c>
      <c r="U84" s="73"/>
    </row>
    <row r="85" spans="2:21" ht="15.75" thickBot="1" x14ac:dyDescent="0.3">
      <c r="B85" s="66"/>
      <c r="C85" s="66"/>
      <c r="D85" t="s">
        <v>230</v>
      </c>
      <c r="K85" s="94"/>
      <c r="L85" s="95"/>
      <c r="M85" s="95"/>
      <c r="N85" s="96"/>
      <c r="O85" s="95"/>
      <c r="P85" s="95"/>
      <c r="Q85" s="95"/>
      <c r="R85" s="95"/>
      <c r="S85" s="95"/>
      <c r="T85" s="95"/>
      <c r="U85" s="97"/>
    </row>
    <row r="86" spans="2:21" x14ac:dyDescent="0.25">
      <c r="B86" s="66"/>
      <c r="C86" s="66"/>
    </row>
    <row r="87" spans="2:21" x14ac:dyDescent="0.25">
      <c r="B87" s="134"/>
      <c r="C87" s="134" t="s">
        <v>43</v>
      </c>
      <c r="D87" s="232" t="s">
        <v>231</v>
      </c>
      <c r="E87" s="232"/>
      <c r="G87" t="s">
        <v>232</v>
      </c>
    </row>
    <row r="88" spans="2:21" x14ac:dyDescent="0.25">
      <c r="B88" s="66"/>
      <c r="C88" s="66"/>
      <c r="D88" s="232"/>
      <c r="E88" s="232"/>
      <c r="G88" s="79">
        <v>228844.29487179487</v>
      </c>
    </row>
    <row r="89" spans="2:21" x14ac:dyDescent="0.25">
      <c r="D89" s="135" t="s">
        <v>233</v>
      </c>
    </row>
    <row r="90" spans="2:21" x14ac:dyDescent="0.25">
      <c r="B90" s="84"/>
      <c r="D90" t="s">
        <v>234</v>
      </c>
      <c r="E90" s="153"/>
      <c r="G90" s="84"/>
      <c r="H90" s="84"/>
    </row>
    <row r="91" spans="2:21" x14ac:dyDescent="0.25">
      <c r="G91" s="154"/>
      <c r="H91" s="155"/>
    </row>
    <row r="94" spans="2:21" x14ac:dyDescent="0.25">
      <c r="B94" s="84"/>
    </row>
    <row r="95" spans="2:21" x14ac:dyDescent="0.25">
      <c r="D95" s="153"/>
    </row>
  </sheetData>
  <sheetProtection algorithmName="SHA-512" hashValue="z/ViTsifV82nL1TchNk2stkZY6co/L9pffKTVvtKE8eWL5DyW3NDBE6MPxCttyUeiRsnbiGI9iQh1GpAoeFm9A==" saltValue="+JlbWWErOrVv2TJC6l8Syw==" spinCount="100000" sheet="1" objects="1" scenarios="1"/>
  <mergeCells count="4">
    <mergeCell ref="D87:E88"/>
    <mergeCell ref="B63:C64"/>
    <mergeCell ref="P6:T11"/>
    <mergeCell ref="P13:T16"/>
  </mergeCells>
  <phoneticPr fontId="3" type="noConversion"/>
  <hyperlinks>
    <hyperlink ref="D89" r:id="rId1" xr:uid="{4A9F2073-F570-40FA-9FD2-D913EA1BE717}"/>
    <hyperlink ref="E75" r:id="rId2" xr:uid="{B7E44E84-F1FF-4F71-BC3C-351F5BFC92F7}"/>
  </hyperlinks>
  <pageMargins left="0.7" right="0.7" top="0.75" bottom="0.75" header="0.3" footer="0.3"/>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Inputs and Outputs</vt:lpstr>
      <vt:lpstr>Officer Sheet</vt:lpstr>
    </vt:vector>
  </TitlesOfParts>
  <Manager/>
  <Company>Nottingham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Stuart Denoon-Stevens</dc:creator>
  <cp:keywords/>
  <dc:description/>
  <cp:lastModifiedBy>Dr Stuart Denoon-Stevens</cp:lastModifiedBy>
  <cp:revision/>
  <dcterms:created xsi:type="dcterms:W3CDTF">2025-09-30T08:31:27Z</dcterms:created>
  <dcterms:modified xsi:type="dcterms:W3CDTF">2026-06-22T16:12:11Z</dcterms:modified>
  <cp:category/>
  <cp:contentStatus/>
</cp:coreProperties>
</file>